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Volumes/griffincapital/Shared/Marketing/_Open Offerings/QOF/"/>
    </mc:Choice>
  </mc:AlternateContent>
  <xr:revisionPtr revIDLastSave="0" documentId="13_ncr:1_{7C5FB920-394D-7E45-8C05-028107FEC96A}" xr6:coauthVersionLast="45" xr6:coauthVersionMax="45" xr10:uidLastSave="{00000000-0000-0000-0000-000000000000}"/>
  <bookViews>
    <workbookView xWindow="0" yWindow="460" windowWidth="28800" windowHeight="15760" activeTab="1" xr2:uid="{9EAECF7B-1A7C-4351-96AB-FAA66F6614F6}"/>
  </bookViews>
  <sheets>
    <sheet name="Mark" sheetId="1" state="hidden" r:id="rId1"/>
    <sheet name="Assumptions and Instructions" sheetId="6" r:id="rId2"/>
    <sheet name="Investment Analysis" sheetId="3" r:id="rId3"/>
    <sheet name="State Capital Gains Tax Rates" sheetId="4" r:id="rId4"/>
    <sheet name="KAS Version" sheetId="2" state="hidden" r:id="rId5"/>
  </sheets>
  <definedNames>
    <definedName name="_xlnm.Print_Area" localSheetId="1">'Assumptions and Instructions'!$A$1:$D$20</definedName>
    <definedName name="_xlnm.Print_Area" localSheetId="2">'Investment Analysis'!$A$1:$G$49</definedName>
    <definedName name="_xlnm.Print_Area" localSheetId="4">'KAS Version'!$A$1:$L$44</definedName>
    <definedName name="_xlnm.Print_Area" localSheetId="3">'State Capital Gains Tax Rates'!$A$1:$I$55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E13" i="3" l="1"/>
  <c r="C58" i="3" l="1"/>
  <c r="C59" i="3" s="1"/>
  <c r="C60" i="3" s="1"/>
  <c r="C61" i="3" s="1"/>
  <c r="C62" i="3" s="1"/>
  <c r="C63" i="3" s="1"/>
  <c r="C64" i="3" s="1"/>
  <c r="C65" i="3" s="1"/>
  <c r="C66" i="3" s="1"/>
  <c r="C67" i="3" s="1"/>
  <c r="C68" i="3" s="1"/>
  <c r="D27" i="3"/>
  <c r="E27" i="3" s="1"/>
  <c r="E10" i="3"/>
  <c r="E11" i="3" s="1"/>
  <c r="E19" i="3"/>
  <c r="E24" i="3"/>
  <c r="E20" i="3" l="1"/>
  <c r="D20" i="3"/>
  <c r="D28" i="3" l="1"/>
  <c r="D29" i="3" s="1"/>
  <c r="D22" i="3"/>
  <c r="D57" i="3" s="1"/>
  <c r="E28" i="3"/>
  <c r="E29" i="3" s="1"/>
  <c r="E22" i="3"/>
  <c r="E57" i="3" s="1"/>
  <c r="D34" i="3"/>
  <c r="E33" i="3"/>
  <c r="D33" i="3"/>
  <c r="E25" i="3"/>
  <c r="E56" i="3" l="1"/>
  <c r="E58" i="3"/>
  <c r="D56" i="3"/>
  <c r="D58" i="3"/>
  <c r="E35" i="3"/>
  <c r="D35" i="3"/>
  <c r="E64" i="3"/>
  <c r="D30" i="3" l="1"/>
  <c r="D36" i="3"/>
  <c r="E34" i="3"/>
  <c r="B4" i="1"/>
  <c r="B3" i="1"/>
  <c r="B2" i="1"/>
  <c r="D67" i="3" l="1"/>
  <c r="D68" i="3"/>
  <c r="D66" i="3"/>
  <c r="E36" i="3"/>
  <c r="E38" i="3" s="1"/>
  <c r="E30" i="3"/>
  <c r="B23" i="1"/>
  <c r="E67" i="3" l="1"/>
  <c r="E68" i="3"/>
  <c r="D55" i="3"/>
  <c r="E39" i="3" s="1"/>
  <c r="E66" i="3"/>
  <c r="E55" i="3" s="1"/>
  <c r="E37" i="3"/>
  <c r="E40" i="3" l="1"/>
  <c r="B52" i="2"/>
  <c r="L8" i="2" s="1"/>
  <c r="J51" i="2"/>
  <c r="C45" i="2"/>
  <c r="D45" i="2" s="1"/>
  <c r="E45" i="2" s="1"/>
  <c r="F45" i="2" s="1"/>
  <c r="G45" i="2" s="1"/>
  <c r="H45" i="2" s="1"/>
  <c r="I45" i="2" s="1"/>
  <c r="J45" i="2" s="1"/>
  <c r="K45" i="2" s="1"/>
  <c r="L45" i="2" s="1"/>
  <c r="E41" i="3" l="1"/>
  <c r="B31" i="2"/>
  <c r="L53" i="2" s="1"/>
  <c r="F37" i="2"/>
  <c r="F38" i="2" s="1"/>
  <c r="E37" i="2"/>
  <c r="E38" i="2" s="1"/>
  <c r="D37" i="2"/>
  <c r="D38" i="2" s="1"/>
  <c r="C37" i="2"/>
  <c r="C38" i="2" s="1"/>
  <c r="F24" i="2"/>
  <c r="F25" i="2" s="1"/>
  <c r="E24" i="2"/>
  <c r="E25" i="2" s="1"/>
  <c r="D24" i="2"/>
  <c r="D25" i="2" s="1"/>
  <c r="C24" i="2"/>
  <c r="C25" i="2" s="1"/>
  <c r="B18" i="2"/>
  <c r="B21" i="2" s="1"/>
  <c r="B25" i="2" s="1"/>
  <c r="C15" i="2"/>
  <c r="D15" i="2" s="1"/>
  <c r="E15" i="2" s="1"/>
  <c r="F15" i="2" s="1"/>
  <c r="G15" i="2" s="1"/>
  <c r="H15" i="2" s="1"/>
  <c r="I15" i="2" s="1"/>
  <c r="J15" i="2" s="1"/>
  <c r="K15" i="2" s="1"/>
  <c r="L15" i="2" s="1"/>
  <c r="B8" i="1" l="1"/>
  <c r="B54" i="2"/>
  <c r="L10" i="2" s="1"/>
  <c r="B19" i="2"/>
  <c r="B33" i="2"/>
  <c r="B24" i="1"/>
  <c r="D35" i="1"/>
  <c r="D36" i="1" s="1"/>
  <c r="D37" i="1" s="1"/>
  <c r="D38" i="1" s="1"/>
  <c r="D39" i="1" s="1"/>
  <c r="B34" i="1"/>
  <c r="B35" i="1" s="1"/>
  <c r="B36" i="1" s="1"/>
  <c r="B37" i="1" s="1"/>
  <c r="B38" i="1" s="1"/>
  <c r="B39" i="1" s="1"/>
  <c r="B40" i="1" s="1"/>
  <c r="B41" i="1" s="1"/>
  <c r="B42" i="1" s="1"/>
  <c r="B43" i="1" s="1"/>
  <c r="B17" i="1"/>
  <c r="B18" i="1" s="1"/>
  <c r="B19" i="1" s="1"/>
  <c r="B6" i="1" l="1"/>
  <c r="L34" i="2"/>
  <c r="B7" i="1"/>
  <c r="B20" i="2"/>
  <c r="L22" i="2" s="1"/>
  <c r="L23" i="2" s="1"/>
  <c r="C49" i="2"/>
  <c r="D40" i="1"/>
  <c r="D44" i="1" s="1"/>
  <c r="K34" i="2"/>
  <c r="G34" i="2"/>
  <c r="J34" i="2"/>
  <c r="I34" i="2"/>
  <c r="H34" i="2"/>
  <c r="H37" i="2" s="1"/>
  <c r="H38" i="2" s="1"/>
  <c r="K21" i="2"/>
  <c r="K24" i="2" s="1"/>
  <c r="B38" i="2"/>
  <c r="B34" i="2"/>
  <c r="L36" i="2"/>
  <c r="B25" i="1"/>
  <c r="B27" i="1" s="1"/>
  <c r="B28" i="1" s="1"/>
  <c r="D49" i="2" l="1"/>
  <c r="E49" i="2" s="1"/>
  <c r="F49" i="2" s="1"/>
  <c r="G49" i="2" s="1"/>
  <c r="H49" i="2" s="1"/>
  <c r="H21" i="2"/>
  <c r="H24" i="2" s="1"/>
  <c r="H25" i="2" s="1"/>
  <c r="J21" i="2"/>
  <c r="J24" i="2" s="1"/>
  <c r="J25" i="2" s="1"/>
  <c r="G21" i="2"/>
  <c r="G24" i="2" s="1"/>
  <c r="G25" i="2" s="1"/>
  <c r="I21" i="2"/>
  <c r="I24" i="2" s="1"/>
  <c r="I25" i="2" s="1"/>
  <c r="B39" i="2"/>
  <c r="G7" i="2" s="1"/>
  <c r="J36" i="2"/>
  <c r="J37" i="2"/>
  <c r="G37" i="2"/>
  <c r="G38" i="2"/>
  <c r="I37" i="2"/>
  <c r="I38" i="2" s="1"/>
  <c r="K37" i="2"/>
  <c r="L37" i="2" s="1"/>
  <c r="L38" i="2" s="1"/>
  <c r="K25" i="2"/>
  <c r="L24" i="2"/>
  <c r="L21" i="2"/>
  <c r="B26" i="2" s="1"/>
  <c r="F7" i="2" s="1"/>
  <c r="H7" i="2" l="1"/>
  <c r="K38" i="2"/>
  <c r="B50" i="2"/>
  <c r="J38" i="2"/>
  <c r="B41" i="2" s="1"/>
  <c r="G9" i="2" s="1"/>
  <c r="H9" i="2" s="1"/>
  <c r="H10" i="2" s="1"/>
  <c r="J49" i="2"/>
  <c r="I49" i="2"/>
  <c r="B28" i="2"/>
  <c r="F9" i="2" s="1"/>
  <c r="L25" i="2"/>
  <c r="B27" i="2" s="1"/>
  <c r="F8" i="2" s="1"/>
  <c r="B13" i="1" l="1"/>
  <c r="L7" i="2"/>
  <c r="L11" i="2" s="1"/>
  <c r="B55" i="2"/>
  <c r="B40" i="2"/>
  <c r="G8" i="2" s="1"/>
  <c r="H8" i="2" s="1"/>
  <c r="B57" i="2" l="1"/>
  <c r="L13" i="2" s="1"/>
  <c r="B56" i="2"/>
  <c r="L12" i="2" s="1"/>
</calcChain>
</file>

<file path=xl/sharedStrings.xml><?xml version="1.0" encoding="utf-8"?>
<sst xmlns="http://schemas.openxmlformats.org/spreadsheetml/2006/main" count="301" uniqueCount="218">
  <si>
    <t>Capital Gains Rate</t>
  </si>
  <si>
    <t>Investment/Orig Capital Gain</t>
  </si>
  <si>
    <t>Gain</t>
  </si>
  <si>
    <t>Reduction in Original Capital Gain 5th yr</t>
  </si>
  <si>
    <t>Reduction in Original Capital Gain 7th yr</t>
  </si>
  <si>
    <t>Yr 2</t>
  </si>
  <si>
    <t>Yr 3</t>
  </si>
  <si>
    <t>Yr 4</t>
  </si>
  <si>
    <t>Yr 5</t>
  </si>
  <si>
    <t>Yr 6</t>
  </si>
  <si>
    <t>Yr 7</t>
  </si>
  <si>
    <t>Yr 8</t>
  </si>
  <si>
    <t>Yr 9</t>
  </si>
  <si>
    <t>Yr 10</t>
  </si>
  <si>
    <t>Value of FMV Step up @20%</t>
  </si>
  <si>
    <t>FMV  Step upon liquidation Tax elimination</t>
  </si>
  <si>
    <t>Initial Deferral Benefit</t>
  </si>
  <si>
    <t>End Value of QOZ Investment</t>
  </si>
  <si>
    <t xml:space="preserve">Total Tax Gain Reduction </t>
  </si>
  <si>
    <t>Deferral Benefit of $200K taxes paid in yr 7 verses yr 1</t>
  </si>
  <si>
    <t>Reduction In Original Capital Gain</t>
  </si>
  <si>
    <t>Presume Liquidation Value</t>
  </si>
  <si>
    <t>Value of FMV Step up:</t>
  </si>
  <si>
    <t>Basis</t>
  </si>
  <si>
    <t xml:space="preserve">Value of Initial Deferral </t>
  </si>
  <si>
    <t>Option 1:</t>
  </si>
  <si>
    <t xml:space="preserve">   1. Deferral</t>
  </si>
  <si>
    <t xml:space="preserve">   2.  Reduction</t>
  </si>
  <si>
    <t xml:space="preserve">   3.  Elimination</t>
  </si>
  <si>
    <t>GRIFFIN CAPITAL QUALIFIED OPPORTUNITY ZONE FUND, L.P.</t>
  </si>
  <si>
    <t>Realized Capital Gain</t>
  </si>
  <si>
    <t>Marginal Federal Tax Bracket</t>
  </si>
  <si>
    <t>Capital Gains Tax Rate</t>
  </si>
  <si>
    <t>Stabilized Development Yield</t>
  </si>
  <si>
    <t>Pro-Forma Internal Rate of Return</t>
  </si>
  <si>
    <t>Year 1</t>
  </si>
  <si>
    <t>Year 0</t>
  </si>
  <si>
    <t>Year 2</t>
  </si>
  <si>
    <t>Year 3</t>
  </si>
  <si>
    <t>Year 4</t>
  </si>
  <si>
    <t>Year 5</t>
  </si>
  <si>
    <t>Year 6</t>
  </si>
  <si>
    <t>Year 7</t>
  </si>
  <si>
    <t>Year 8</t>
  </si>
  <si>
    <t>Year 9</t>
  </si>
  <si>
    <t>Year 10</t>
  </si>
  <si>
    <t>Development Phase</t>
  </si>
  <si>
    <t>Initial Investment</t>
  </si>
  <si>
    <t>Capital Gains Tax</t>
  </si>
  <si>
    <t>Net Investment</t>
  </si>
  <si>
    <t>Lease-Up Phase</t>
  </si>
  <si>
    <t>Stabilization and Management Phase</t>
  </si>
  <si>
    <t>Disposition Proceeds</t>
  </si>
  <si>
    <t>Percent Dividend Shelter</t>
  </si>
  <si>
    <t xml:space="preserve">  Pre-Tax Internal Rate of Return</t>
  </si>
  <si>
    <t xml:space="preserve">  After-Tax Internal Rate of Return</t>
  </si>
  <si>
    <t>Ordinary Income Tax</t>
  </si>
  <si>
    <t>Pre-Tax Return</t>
  </si>
  <si>
    <t>After-Tax Return</t>
  </si>
  <si>
    <t>No QOZ Tax Benefit Scenario</t>
  </si>
  <si>
    <t>Comparative Benefits of Qualified Opportunity Zone Tax Benefits</t>
  </si>
  <si>
    <t>Capital Gains Basis Step-Up</t>
  </si>
  <si>
    <t xml:space="preserve">  Total After-Tax Cash Receipts</t>
  </si>
  <si>
    <t>With QOZ Tax Benefit Scenario</t>
  </si>
  <si>
    <t>100% FMV</t>
  </si>
  <si>
    <t>10% Basis Step Up</t>
  </si>
  <si>
    <t>Additional 5% Basis Step Up</t>
  </si>
  <si>
    <t>Five Year Hold</t>
  </si>
  <si>
    <t>Seven Year Hold</t>
  </si>
  <si>
    <t xml:space="preserve">   After Tax IRR</t>
  </si>
  <si>
    <t xml:space="preserve">  Total After Tax Distributions</t>
  </si>
  <si>
    <t>Assumptions</t>
  </si>
  <si>
    <t>No QOZ</t>
  </si>
  <si>
    <t>Tax Benefits</t>
  </si>
  <si>
    <t>With QOZ</t>
  </si>
  <si>
    <t xml:space="preserve">  Percentage Increase in After Tax Distributions</t>
  </si>
  <si>
    <t xml:space="preserve">   Pre Tax IRR</t>
  </si>
  <si>
    <t>Ten Year Hold</t>
  </si>
  <si>
    <t>Basis Step Up</t>
  </si>
  <si>
    <t>Net QOZ</t>
  </si>
  <si>
    <t>Three Elements of QOZ Tax Benefits</t>
  </si>
  <si>
    <t xml:space="preserve">  1. Deferral of Capital Gain</t>
  </si>
  <si>
    <t xml:space="preserve">  2. Interim Basis Step Up</t>
  </si>
  <si>
    <t>Tax Benefit</t>
  </si>
  <si>
    <t xml:space="preserve">  3. FMV Basis Step Up on Sale</t>
  </si>
  <si>
    <t xml:space="preserve">      - Capital Gains Tax Savings</t>
  </si>
  <si>
    <t>Reinvestment Rate</t>
  </si>
  <si>
    <t>Discount Rate (Inflation Proxy)</t>
  </si>
  <si>
    <t>Capital Gains Tax Deferral</t>
  </si>
  <si>
    <t xml:space="preserve">  Present Value</t>
  </si>
  <si>
    <t>15% Basis Step Up</t>
  </si>
  <si>
    <t>FMV Basis Step Up</t>
  </si>
  <si>
    <t>Total Present Value Savings</t>
  </si>
  <si>
    <t xml:space="preserve">  As a Percent of Original Capital Gain</t>
  </si>
  <si>
    <t xml:space="preserve">  As a Percent of Net Capital Gains</t>
  </si>
  <si>
    <t>Present Value of QOZ Tax Benefits</t>
  </si>
  <si>
    <t>Present Value</t>
  </si>
  <si>
    <t xml:space="preserve">  As % of $1 million Cap Gain</t>
  </si>
  <si>
    <t xml:space="preserve">  As % of $800k net Cap Gain</t>
  </si>
  <si>
    <t xml:space="preserve">  Total PV of Tax Benefits</t>
  </si>
  <si>
    <r>
      <rPr>
        <sz val="11"/>
        <color rgb="FFFF0000"/>
        <rFont val="Calibri"/>
        <family val="2"/>
      </rPr>
      <t>Present</t>
    </r>
    <r>
      <rPr>
        <sz val="11"/>
        <color theme="1"/>
        <rFont val="Arial"/>
        <family val="2"/>
        <scheme val="minor"/>
      </rPr>
      <t xml:space="preserve"> Value = Investment of Tax savings (20% of $1mm or $200k) for 7 add'l yrs  @7%</t>
    </r>
  </si>
  <si>
    <t>Step UP In Taxable Gain</t>
  </si>
  <si>
    <r>
      <t xml:space="preserve">Realized Gain on Sale </t>
    </r>
    <r>
      <rPr>
        <sz val="11"/>
        <color rgb="FFFF0000"/>
        <rFont val="Calibri"/>
        <family val="2"/>
      </rPr>
      <t>on Step Up</t>
    </r>
  </si>
  <si>
    <r>
      <t>Annual Appreciation Rate</t>
    </r>
    <r>
      <rPr>
        <sz val="11"/>
        <color rgb="FFFF0000"/>
        <rFont val="Calibri"/>
        <family val="2"/>
      </rPr>
      <t>/Yield</t>
    </r>
  </si>
  <si>
    <t>Taxes due</t>
  </si>
  <si>
    <t>Capital Gain Proceeds from Sale</t>
  </si>
  <si>
    <t>Traditional Portfolio Return (annual IRR)</t>
  </si>
  <si>
    <t>Yes</t>
  </si>
  <si>
    <t>Investment Year</t>
  </si>
  <si>
    <t>QOF Pro-Forma Return (annual IRR)</t>
  </si>
  <si>
    <t>Investment Duration prior to 12/31/26</t>
  </si>
  <si>
    <t>Capital Gain Tax Paid in 2020</t>
  </si>
  <si>
    <t xml:space="preserve">End of Deferral Period </t>
  </si>
  <si>
    <t>Percent of Capital Gains Taxes Stepped Up</t>
  </si>
  <si>
    <t>Future Value of Investment</t>
  </si>
  <si>
    <t>End of 10-Year Investment Period</t>
  </si>
  <si>
    <t>Net After Tax Sales Proceeds</t>
  </si>
  <si>
    <t xml:space="preserve">  Initial Capital Gain</t>
  </si>
  <si>
    <t xml:space="preserve">  Gain on Investment</t>
  </si>
  <si>
    <t xml:space="preserve">  Taxes Paid</t>
  </si>
  <si>
    <t xml:space="preserve">  Net After Tax Proceeds</t>
  </si>
  <si>
    <t>IRR Analysis</t>
  </si>
  <si>
    <t>Traditional</t>
  </si>
  <si>
    <t>After-Tax</t>
  </si>
  <si>
    <t>QOF</t>
  </si>
  <si>
    <t>IRR</t>
  </si>
  <si>
    <t>Investment</t>
  </si>
  <si>
    <t>Net After-Tax Cash Benefit of QOF Investment</t>
  </si>
  <si>
    <t xml:space="preserve">  Traditional After-Tax Internal Rate of Return</t>
  </si>
  <si>
    <t xml:space="preserve">  QOF After-Tax Internal Rate of Return</t>
  </si>
  <si>
    <t>Net After-Tax IRR Benefit of QOF Investment</t>
  </si>
  <si>
    <t>Texas</t>
  </si>
  <si>
    <t>Taxpayer's State</t>
  </si>
  <si>
    <t>Summary of QOF Tax Benefit Differential</t>
  </si>
  <si>
    <t xml:space="preserve">  Relative Increase in Distributable After-Tax Cash</t>
  </si>
  <si>
    <t>State</t>
  </si>
  <si>
    <t>Tax Rate</t>
  </si>
  <si>
    <t>Conforming</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</si>
  <si>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</si>
  <si>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</si>
  <si>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</si>
  <si>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</si>
  <si>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</si>
  <si>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</si>
  <si>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</si>
  <si>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</si>
  <si>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</si>
  <si>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</si>
  <si>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</si>
  <si>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</si>
  <si>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</si>
  <si>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</si>
  <si>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</si>
  <si>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</si>
  <si>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</si>
  <si>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</si>
  <si>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</si>
  <si>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</si>
  <si>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</si>
  <si>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</si>
  <si>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</si>
  <si>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</si>
  <si>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</si>
  <si>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</si>
  <si>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</si>
  <si>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</si>
  <si>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</si>
  <si>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</si>
  <si>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</si>
  <si>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</si>
  <si>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</si>
  <si>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</si>
  <si>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</si>
  <si>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</si>
  <si>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</si>
  <si>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</si>
  <si>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</si>
  <si>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</si>
  <si>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</si>
  <si>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</si>
  <si>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</si>
  <si>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</si>
  <si>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</si>
  <si>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</si>
  <si>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</si>
  <si>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</si>
  <si>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</si>
  <si>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No</t>
  </si>
  <si>
    <t>Conforming State Legislation?</t>
  </si>
  <si>
    <t xml:space="preserve">This illustration does not represent any particular QOF investment. </t>
  </si>
  <si>
    <t>The after-tax internal rate of return differential between a Traditional Investment and a QOF investment assumes the Fund investment is liquidated immediately upon the expiration of the 10-year holding period, which is the minimum holding period for the investor to achieve the 100% fair market value basis step up.</t>
  </si>
  <si>
    <t>The after-tax internal rate of return analysis further assumes there are no intervening distributions over the 10-year holding period.  We anticipate, with respect to the Griffin Capital Qualified Opportunity Fund, L.P., there will be distributions made to investors both as a function of debt-financed, tax-deferred distributions once a specific asset is stabilized and recapitalized, as well as distributions from cash flow following recapitalization.  These interim distributions were removed from this analysis to, again, focus on isolating the relative return enhancement as a result of Subchapter Z.</t>
  </si>
  <si>
    <t>Input Instructions</t>
  </si>
  <si>
    <t>There are only five cells in the Investment Analysis that require inputs from the user:</t>
  </si>
  <si>
    <t>Input the Capital Gain realized and intended to be invested by the investor</t>
  </si>
  <si>
    <t>Input the pro-forma annual internal rate of return expectation for a Traditional Investment</t>
  </si>
  <si>
    <t>Input the pro-forma annual internal rate of return expectation for a Qualified Opportunity Zone Fund investment</t>
  </si>
  <si>
    <t>It is merely a hypothetical illustration based on the assumptions listed to show the potential tax benefits of investing in a QOF investment. The tax rates and returns used in the assumptions of this example may vary greatly and should not be construed as any results you would achieve in a QOF investment. This information should not be construed as tax advice. Investors should consult their own tax advisors to determine their individual benefits in a QOF investment.</t>
  </si>
  <si>
    <t xml:space="preserve">THIS IS NEITHER AN OFFER TO SELL NOR A SOLICITATION OF AN OFFER TO BUY ANY SECURITIES. AN OFFERING IS MADE ONLY BY A PRIVATE PLACEMENT MEMORANDUM. A COPY OF A PRIVATE PLACEMENT MEMORANDUM MUST BE MADE AVAILABLE TO YOU IN CONNECTION WITH AN OFFERING. </t>
  </si>
  <si>
    <t>THIS MATERIAL DOES NOT CONSTITUTE TAX ADVICE TO ANY PERSON. A PERSON MUST CONSULT WITH HIS OR HER OWN TAX ADVISORS REGARDING THE TAX CONSEQUENCES TO THEM OF ACQUIRING AND OWNING ANY QOF INVESTMENT.</t>
  </si>
  <si>
    <t xml:space="preserve">THE INFORMATION CONTAINED IN THIS MATERIAL, ARE NOT REPRESENTATIVE OF ANY SPECIFIC PROPERTY OR OPPORTUNITY.  THE CALCULATIONS HEREIN REMAIN SUBJECT TO CHANGE AS APPLICABLE BASED UPON SUBSEQUENT REGULATORY GUIDANCE ISSUED UNDER SUBCHAPTER Z OF THE INTERNAL REVENUE CODE AND OTHER REGULATORY OR TAX RELATED CHANGES. </t>
  </si>
  <si>
    <t>Internal Rate of Return Calculations</t>
  </si>
  <si>
    <t>Capital Gains Taxes Payable in 2027</t>
  </si>
  <si>
    <t>Cell E8</t>
  </si>
  <si>
    <t>Cell D12</t>
  </si>
  <si>
    <t>Cell E14</t>
  </si>
  <si>
    <t>Cell E15</t>
  </si>
  <si>
    <t>Cell D19</t>
  </si>
  <si>
    <t>Qualified Opportunity Zone Fund Investing</t>
  </si>
  <si>
    <t>ASSUMPTIONS &amp; INSTRUCTIONS</t>
  </si>
  <si>
    <t xml:space="preserve">Qualified Opportunity Zone Fund Investing	</t>
  </si>
  <si>
    <t>QOF AFTER-TAX COMPARATIVE BENEFIT</t>
  </si>
  <si>
    <t>LT Cap Gains Rate (Federal + ACA)</t>
  </si>
  <si>
    <t>In addition to the financial assumptions included in the table in the Investment Analysis tab, the model includes other certain basic assumptions intended to isolate the specific tax benefits available through an investment in a Qualified Investment Fund as a result of Subchapter Z of the Internal Revenue Code.  Such assumptions include the following:</t>
  </si>
  <si>
    <t>Capital Gain Reinvested</t>
  </si>
  <si>
    <t>The pro-forma return objective in cells E14 and E15 of the Investment Analysis tab represent a pre-tax annual internal rate of return.  For comparative purposes to specifically isolate the tax benefits, use the same IRR estimate for both a traditional investment and a QOF investment.  In the alternative, insert an IRR estimate for a Traditional Investment you believe is more realistically available in the marketplace.</t>
  </si>
  <si>
    <t>Choose the year of investment into the Qualified Opportunity Zone Fund investment</t>
  </si>
  <si>
    <t>Choose the State in which the investor resides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</si>
</sst>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
    <numFmt numFmtId="167" formatCode="_(&quot;$&quot;* #,##0.000_);_(&quot;$&quot;* \(#,##0.000\);_(&quot;$&quot;* &quot;-&quot;???_);_(@_)"/>
  </numFmts>
  <fonts count="34" x14ac:knownFonts="1">
    <font>
      <sz val="11"/>
      <color theme="1"/>
      <name val="Arial"/>
      <family val="2"/>
      <scheme val="minor"/>
    </font>
    <font>
      <sz val="11"/>
      <color theme="1"/>
      <name val="Arial"/>
      <family val="2"/>
      <scheme val="minor"/>
    </font>
    <font>
      <sz val="11"/>
      <color rgb="FF3F3F76"/>
      <name val="Arial"/>
      <family val="2"/>
      <scheme val="minor"/>
    </font>
    <font>
      <b/>
      <sz val="11"/>
      <color theme="1"/>
      <name val="Arial"/>
      <family val="2"/>
      <scheme val="minor"/>
    </font>
    <font>
      <sz val="11"/>
      <name val="Arial"/>
      <family val="2"/>
      <scheme val="minor"/>
    </font>
    <font>
      <sz val="11"/>
      <color theme="1"/>
      <name val="Times New Roman"/>
      <family val="1"/>
    </font>
    <font>
      <sz val="11"/>
      <color rgb="FF0000FF"/>
      <name val="Times New Roman"/>
      <family val="1"/>
    </font>
    <font>
      <b/>
      <sz val="11"/>
      <color theme="1"/>
      <name val="Times New Roman"/>
      <family val="1"/>
    </font>
    <font>
      <b/>
      <u val="singleAccounting"/>
      <sz val="11"/>
      <color theme="1"/>
      <name val="Times New Roman"/>
      <family val="1"/>
    </font>
    <font>
      <b/>
      <i/>
      <sz val="11"/>
      <color theme="1"/>
      <name val="Times New Roman"/>
      <family val="1"/>
    </font>
    <font>
      <u val="singleAccounting"/>
      <sz val="11"/>
      <color theme="1"/>
      <name val="Times New Roman"/>
      <family val="1"/>
    </font>
    <font>
      <b/>
      <i/>
      <u val="singleAccounting"/>
      <sz val="11"/>
      <color theme="1"/>
      <name val="Times New Roman"/>
      <family val="1"/>
    </font>
    <font>
      <b/>
      <sz val="18"/>
      <color theme="1"/>
      <name val="Times New Roman"/>
      <family val="1"/>
    </font>
    <font>
      <b/>
      <i/>
      <sz val="14"/>
      <color theme="1"/>
      <name val="Times New Roman"/>
      <family val="1"/>
    </font>
    <font>
      <i/>
      <sz val="11"/>
      <color theme="1"/>
      <name val="Times New Roman"/>
      <family val="1"/>
    </font>
    <font>
      <sz val="11"/>
      <name val="Times New Roman"/>
      <family val="1"/>
    </font>
    <font>
      <sz val="11"/>
      <color rgb="FFFF0000"/>
      <name val="Arial"/>
      <family val="2"/>
      <scheme val="minor"/>
    </font>
    <font>
      <sz val="11"/>
      <color rgb="FFFF0000"/>
      <name val="Calibri"/>
      <family val="2"/>
    </font>
    <font>
      <i/>
      <sz val="11"/>
      <color theme="1"/>
      <name val="Arial"/>
      <family val="2"/>
      <scheme val="minor"/>
    </font>
    <font>
      <b/>
      <i/>
      <sz val="11"/>
      <color theme="1"/>
      <name val="Arial"/>
      <family val="2"/>
      <scheme val="minor"/>
    </font>
    <font>
      <b/>
      <u/>
      <sz val="11"/>
      <color theme="1"/>
      <name val="Arial"/>
      <family val="2"/>
      <scheme val="minor"/>
    </font>
    <font>
      <u val="singleAccounting"/>
      <sz val="11"/>
      <color theme="1"/>
      <name val="Arial"/>
      <family val="2"/>
      <scheme val="minor"/>
    </font>
    <font>
      <i/>
      <sz val="11"/>
      <color rgb="FF0000FF"/>
      <name val="Arial"/>
      <family val="2"/>
      <scheme val="minor"/>
    </font>
    <font>
      <sz val="11"/>
      <color rgb="FF0000FF"/>
      <name val="Arial"/>
      <family val="2"/>
      <scheme val="minor"/>
    </font>
    <font>
      <sz val="11"/>
      <color rgb="FF555555"/>
      <name val="Arial"/>
      <family val="2"/>
    </font>
    <font>
      <b/>
      <sz val="12"/>
      <color rgb="FFC00000"/>
      <name val="Arial"/>
      <family val="2"/>
    </font>
    <font>
      <sz val="9"/>
      <color rgb="FF3F4450"/>
      <name val="Arial"/>
      <family val="2"/>
    </font>
    <font>
      <sz val="9"/>
      <color theme="1"/>
      <name val="Arial"/>
      <family val="2"/>
      <scheme val="minor"/>
    </font>
    <font>
      <sz val="20"/>
      <color theme="4"/>
      <name val="Arial"/>
      <family val="2"/>
      <scheme val="minor"/>
    </font>
    <font>
      <b/>
      <sz val="14"/>
      <color theme="1"/>
      <name val="Arial"/>
      <family val="2"/>
      <scheme val="minor"/>
    </font>
    <font>
      <b/>
      <sz val="11"/>
      <color theme="4"/>
      <name val="Arial"/>
      <family val="2"/>
      <scheme val="minor"/>
    </font>
    <font>
      <sz val="14"/>
      <color theme="1"/>
      <name val="Arial"/>
      <family val="2"/>
      <scheme val="minor"/>
    </font>
    <font>
      <b/>
      <sz val="11"/>
      <color theme="0"/>
      <name val="Arial"/>
      <family val="2"/>
      <scheme val="minor"/>
    </font>
    <font>
      <b/>
      <sz val="9.5"/>
      <color rgb="FF3F4450"/>
      <name val="Arial"/>
      <family val="2"/>
    </font>
  </fonts>
  <fills count="7">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43"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3" fontId="0" fillId="0" borderId="0" xfId="0" applyNumberFormat="1"/>
    <xf numFmtId="9" fontId="0" fillId="0" borderId="0" xfId="1" applyFont="1"/>
    <xf numFmtId="3" fontId="0" fillId="0" borderId="0" xfId="1" applyNumberFormat="1" applyFont="1"/>
    <xf numFmtId="38" fontId="0" fillId="0" borderId="0" xfId="0" applyNumberFormat="1"/>
    <xf numFmtId="8" fontId="0" fillId="0" borderId="0" xfId="0" applyNumberFormat="1"/>
    <xf numFmtId="3" fontId="3" fillId="0" borderId="0" xfId="0" applyNumberFormat="1" applyFont="1"/>
    <xf numFmtId="0" fontId="0" fillId="0" borderId="0" xfId="0" applyBorder="1"/>
    <xf numFmtId="3" fontId="0" fillId="0" borderId="0" xfId="0" applyNumberFormat="1" applyBorder="1"/>
    <xf numFmtId="3" fontId="0" fillId="0" borderId="0" xfId="0" applyNumberFormat="1" applyBorder="1" applyAlignment="1">
      <alignment horizontal="center" wrapText="1"/>
    </xf>
    <xf numFmtId="38" fontId="0" fillId="0" borderId="0" xfId="0" applyNumberFormat="1" applyBorder="1"/>
    <xf numFmtId="38" fontId="3" fillId="0" borderId="0" xfId="0" applyNumberFormat="1" applyFont="1" applyBorder="1"/>
    <xf numFmtId="3" fontId="0" fillId="3" borderId="0" xfId="0" applyNumberFormat="1" applyFill="1" applyBorder="1"/>
    <xf numFmtId="38" fontId="0" fillId="3" borderId="3" xfId="0" applyNumberFormat="1" applyFill="1" applyBorder="1"/>
    <xf numFmtId="0" fontId="0" fillId="3" borderId="3" xfId="0" applyFill="1" applyBorder="1"/>
    <xf numFmtId="0" fontId="0" fillId="3" borderId="0" xfId="0" applyFill="1" applyBorder="1"/>
    <xf numFmtId="0" fontId="0" fillId="4" borderId="0" xfId="0" applyFill="1"/>
    <xf numFmtId="3" fontId="0" fillId="4" borderId="0" xfId="0" applyNumberFormat="1" applyFill="1"/>
    <xf numFmtId="3" fontId="0" fillId="4" borderId="0" xfId="0" applyNumberFormat="1" applyFill="1" applyBorder="1"/>
    <xf numFmtId="0" fontId="0" fillId="3" borderId="4" xfId="0" applyFill="1" applyBorder="1"/>
    <xf numFmtId="3" fontId="0" fillId="3" borderId="5" xfId="0" applyNumberFormat="1" applyFill="1" applyBorder="1" applyAlignment="1">
      <alignment horizontal="center"/>
    </xf>
    <xf numFmtId="3" fontId="0" fillId="3" borderId="6" xfId="0" applyNumberFormat="1" applyFill="1" applyBorder="1" applyAlignment="1">
      <alignment wrapText="1"/>
    </xf>
    <xf numFmtId="0" fontId="0" fillId="3" borderId="7" xfId="0" applyFill="1" applyBorder="1"/>
    <xf numFmtId="38" fontId="0" fillId="3" borderId="0" xfId="0" applyNumberFormat="1" applyFill="1" applyBorder="1"/>
    <xf numFmtId="3" fontId="0" fillId="3" borderId="8" xfId="0" applyNumberFormat="1" applyFill="1" applyBorder="1"/>
    <xf numFmtId="3" fontId="0" fillId="3" borderId="8" xfId="0" quotePrefix="1" applyNumberFormat="1" applyFill="1" applyBorder="1"/>
    <xf numFmtId="0" fontId="0" fillId="3" borderId="9" xfId="0" applyFill="1" applyBorder="1"/>
    <xf numFmtId="3" fontId="0" fillId="3" borderId="10" xfId="0" applyNumberFormat="1" applyFill="1" applyBorder="1"/>
    <xf numFmtId="3" fontId="0" fillId="3" borderId="5" xfId="0" applyNumberFormat="1" applyFill="1" applyBorder="1"/>
    <xf numFmtId="3" fontId="0" fillId="3" borderId="6" xfId="0" applyNumberFormat="1" applyFill="1" applyBorder="1"/>
    <xf numFmtId="0" fontId="3" fillId="3" borderId="7" xfId="0" applyFont="1" applyFill="1" applyBorder="1"/>
    <xf numFmtId="0" fontId="0" fillId="3" borderId="10" xfId="0" applyFill="1" applyBorder="1"/>
    <xf numFmtId="38" fontId="2" fillId="3" borderId="2" xfId="2" applyNumberFormat="1" applyFill="1" applyBorder="1"/>
    <xf numFmtId="0" fontId="0" fillId="3" borderId="7" xfId="0" applyFill="1" applyBorder="1" applyAlignment="1">
      <alignment horizontal="left"/>
    </xf>
    <xf numFmtId="0" fontId="0" fillId="3" borderId="8" xfId="0" applyFill="1" applyBorder="1"/>
    <xf numFmtId="3" fontId="0" fillId="3" borderId="9" xfId="0" applyNumberFormat="1" applyFill="1" applyBorder="1" applyAlignment="1">
      <alignment horizontal="left" wrapText="1"/>
    </xf>
    <xf numFmtId="3" fontId="4" fillId="3" borderId="3" xfId="2" applyNumberFormat="1" applyFont="1" applyFill="1" applyBorder="1"/>
    <xf numFmtId="3" fontId="0" fillId="3" borderId="10" xfId="0" quotePrefix="1" applyNumberFormat="1" applyFill="1" applyBorder="1"/>
    <xf numFmtId="38" fontId="2" fillId="3" borderId="11" xfId="2" applyNumberFormat="1" applyFill="1" applyBorder="1"/>
    <xf numFmtId="38" fontId="0" fillId="3" borderId="2" xfId="0" applyNumberFormat="1" applyFill="1" applyBorder="1"/>
    <xf numFmtId="164" fontId="5" fillId="0" borderId="0" xfId="3" applyNumberFormat="1" applyFont="1"/>
    <xf numFmtId="10" fontId="5" fillId="0" borderId="0" xfId="1" applyNumberFormat="1" applyFont="1"/>
    <xf numFmtId="164" fontId="6" fillId="0" borderId="0" xfId="3" applyNumberFormat="1" applyFont="1"/>
    <xf numFmtId="10" fontId="6" fillId="0" borderId="0" xfId="1" applyNumberFormat="1" applyFont="1"/>
    <xf numFmtId="164" fontId="7" fillId="0" borderId="0" xfId="3" applyNumberFormat="1" applyFont="1"/>
    <xf numFmtId="164" fontId="8" fillId="0" borderId="0" xfId="3" applyNumberFormat="1" applyFont="1" applyAlignment="1">
      <alignment horizontal="center"/>
    </xf>
    <xf numFmtId="0" fontId="9" fillId="0" borderId="0" xfId="3" applyNumberFormat="1" applyFont="1" applyAlignment="1">
      <alignment horizontal="center"/>
    </xf>
    <xf numFmtId="164" fontId="10" fillId="0" borderId="0" xfId="3" applyNumberFormat="1" applyFont="1"/>
    <xf numFmtId="164" fontId="9" fillId="0" borderId="0" xfId="3" applyNumberFormat="1" applyFont="1"/>
    <xf numFmtId="164" fontId="11" fillId="0" borderId="0" xfId="3" applyNumberFormat="1" applyFont="1"/>
    <xf numFmtId="164" fontId="5" fillId="0" borderId="0" xfId="3" applyNumberFormat="1" applyFont="1" applyAlignment="1"/>
    <xf numFmtId="164" fontId="5" fillId="0" borderId="12" xfId="3" applyNumberFormat="1" applyFont="1" applyBorder="1"/>
    <xf numFmtId="164" fontId="5" fillId="0" borderId="14" xfId="3" applyNumberFormat="1" applyFont="1" applyBorder="1"/>
    <xf numFmtId="164" fontId="5" fillId="0" borderId="15" xfId="3" applyNumberFormat="1" applyFont="1" applyBorder="1"/>
    <xf numFmtId="164" fontId="7" fillId="0" borderId="16" xfId="3" applyNumberFormat="1" applyFont="1" applyBorder="1"/>
    <xf numFmtId="10" fontId="7" fillId="0" borderId="17" xfId="1" applyNumberFormat="1" applyFont="1" applyBorder="1"/>
    <xf numFmtId="10" fontId="7" fillId="0" borderId="0" xfId="1" applyNumberFormat="1" applyFont="1"/>
    <xf numFmtId="164" fontId="14" fillId="0" borderId="0" xfId="3" applyNumberFormat="1" applyFont="1" applyAlignment="1">
      <alignment horizontal="center"/>
    </xf>
    <xf numFmtId="164" fontId="14" fillId="0" borderId="0" xfId="3" applyNumberFormat="1" applyFont="1"/>
    <xf numFmtId="164" fontId="5" fillId="0" borderId="0" xfId="3" applyNumberFormat="1" applyFont="1" applyBorder="1"/>
    <xf numFmtId="164" fontId="7" fillId="0" borderId="0" xfId="3" applyNumberFormat="1" applyFont="1" applyBorder="1"/>
    <xf numFmtId="10" fontId="7" fillId="0" borderId="0" xfId="1" applyNumberFormat="1" applyFont="1" applyBorder="1"/>
    <xf numFmtId="164" fontId="5" fillId="0" borderId="18" xfId="3" applyNumberFormat="1" applyFont="1" applyBorder="1"/>
    <xf numFmtId="164" fontId="7" fillId="0" borderId="18" xfId="3" applyNumberFormat="1" applyFont="1" applyBorder="1" applyAlignment="1">
      <alignment horizontal="center"/>
    </xf>
    <xf numFmtId="164" fontId="7" fillId="0" borderId="13" xfId="3" applyNumberFormat="1" applyFont="1" applyBorder="1" applyAlignment="1">
      <alignment horizontal="center"/>
    </xf>
    <xf numFmtId="164" fontId="8" fillId="0" borderId="0" xfId="3" applyNumberFormat="1" applyFont="1" applyBorder="1" applyAlignment="1">
      <alignment horizontal="center"/>
    </xf>
    <xf numFmtId="164" fontId="8" fillId="0" borderId="15" xfId="3" applyNumberFormat="1" applyFont="1" applyBorder="1" applyAlignment="1">
      <alignment horizontal="center"/>
    </xf>
    <xf numFmtId="10" fontId="5" fillId="0" borderId="0" xfId="1" applyNumberFormat="1" applyFont="1" applyBorder="1"/>
    <xf numFmtId="10" fontId="5" fillId="0" borderId="15" xfId="1" applyNumberFormat="1" applyFont="1" applyBorder="1"/>
    <xf numFmtId="164" fontId="7" fillId="0" borderId="2" xfId="3" applyNumberFormat="1" applyFont="1" applyBorder="1"/>
    <xf numFmtId="165" fontId="6" fillId="0" borderId="0" xfId="4" applyNumberFormat="1" applyFont="1"/>
    <xf numFmtId="164" fontId="15" fillId="0" borderId="0" xfId="3" applyNumberFormat="1" applyFont="1"/>
    <xf numFmtId="164" fontId="5" fillId="0" borderId="16" xfId="3" applyNumberFormat="1" applyFont="1" applyBorder="1"/>
    <xf numFmtId="164" fontId="5" fillId="0" borderId="2" xfId="3" applyNumberFormat="1" applyFont="1" applyBorder="1"/>
    <xf numFmtId="164" fontId="5" fillId="0" borderId="17" xfId="3" applyNumberFormat="1" applyFont="1" applyBorder="1"/>
    <xf numFmtId="165" fontId="5" fillId="0" borderId="15" xfId="4" applyNumberFormat="1" applyFont="1" applyBorder="1"/>
    <xf numFmtId="0" fontId="9" fillId="0" borderId="18" xfId="3" applyNumberFormat="1" applyFont="1" applyBorder="1" applyAlignment="1">
      <alignment horizontal="center"/>
    </xf>
    <xf numFmtId="0" fontId="9" fillId="0" borderId="13" xfId="3" applyNumberFormat="1" applyFont="1" applyBorder="1" applyAlignment="1">
      <alignment horizontal="center"/>
    </xf>
    <xf numFmtId="164" fontId="8" fillId="0" borderId="14" xfId="3" applyNumberFormat="1" applyFont="1" applyBorder="1" applyAlignment="1">
      <alignment horizontal="center"/>
    </xf>
    <xf numFmtId="10" fontId="6" fillId="0" borderId="0" xfId="1" applyNumberFormat="1" applyFont="1" applyBorder="1"/>
    <xf numFmtId="164" fontId="10" fillId="0" borderId="0" xfId="3" applyNumberFormat="1" applyFont="1" applyBorder="1"/>
    <xf numFmtId="10" fontId="5" fillId="0" borderId="2" xfId="1" applyNumberFormat="1" applyFont="1" applyBorder="1"/>
    <xf numFmtId="164" fontId="10" fillId="0" borderId="15" xfId="3" applyNumberFormat="1" applyFont="1" applyBorder="1"/>
    <xf numFmtId="164" fontId="9" fillId="0" borderId="14" xfId="3" applyNumberFormat="1" applyFont="1" applyBorder="1"/>
    <xf numFmtId="164" fontId="9" fillId="0" borderId="0" xfId="3" applyNumberFormat="1" applyFont="1" applyBorder="1"/>
    <xf numFmtId="165" fontId="9" fillId="0" borderId="15" xfId="4" applyNumberFormat="1" applyFont="1" applyBorder="1"/>
    <xf numFmtId="10" fontId="5" fillId="0" borderId="17" xfId="1" applyNumberFormat="1" applyFont="1" applyBorder="1"/>
    <xf numFmtId="43" fontId="5" fillId="0" borderId="0" xfId="3" applyNumberFormat="1" applyFont="1"/>
    <xf numFmtId="0" fontId="16" fillId="0" borderId="0" xfId="0" applyFont="1"/>
    <xf numFmtId="0" fontId="0" fillId="0" borderId="0" xfId="0" applyAlignment="1"/>
    <xf numFmtId="42" fontId="0" fillId="0" borderId="0" xfId="0" applyNumberFormat="1" applyAlignment="1"/>
    <xf numFmtId="0" fontId="0" fillId="0" borderId="0" xfId="0" applyFill="1" applyAlignment="1"/>
    <xf numFmtId="0" fontId="0" fillId="0" borderId="0" xfId="0" applyAlignment="1">
      <alignment wrapText="1"/>
    </xf>
    <xf numFmtId="0" fontId="27" fillId="0" borderId="0" xfId="0" applyFont="1"/>
    <xf numFmtId="0" fontId="27" fillId="0" borderId="0" xfId="0" applyFont="1" applyAlignment="1">
      <alignment horizontal="left"/>
    </xf>
    <xf numFmtId="0" fontId="0" fillId="5" borderId="0" xfId="0" applyFill="1" applyAlignment="1"/>
    <xf numFmtId="164" fontId="0" fillId="5" borderId="0" xfId="3" applyNumberFormat="1" applyFont="1" applyFill="1" applyAlignment="1"/>
    <xf numFmtId="0" fontId="0" fillId="5" borderId="14" xfId="0" applyFill="1" applyBorder="1" applyAlignment="1"/>
    <xf numFmtId="0" fontId="3" fillId="5" borderId="0" xfId="0" applyFont="1" applyFill="1" applyBorder="1" applyAlignment="1">
      <alignment horizontal="center"/>
    </xf>
    <xf numFmtId="0" fontId="3" fillId="5" borderId="15" xfId="0" applyFont="1" applyFill="1" applyBorder="1" applyAlignment="1">
      <alignment horizontal="center"/>
    </xf>
    <xf numFmtId="0" fontId="19" fillId="5" borderId="14" xfId="0" applyFont="1" applyFill="1" applyBorder="1" applyAlignment="1">
      <alignment horizontal="right"/>
    </xf>
    <xf numFmtId="10" fontId="19" fillId="5" borderId="0" xfId="1" applyNumberFormat="1" applyFont="1" applyFill="1" applyBorder="1" applyAlignment="1"/>
    <xf numFmtId="10" fontId="19" fillId="5" borderId="15" xfId="1" applyNumberFormat="1" applyFont="1" applyFill="1" applyBorder="1" applyAlignment="1"/>
    <xf numFmtId="164" fontId="0" fillId="5" borderId="0" xfId="0" applyNumberFormat="1" applyFill="1" applyBorder="1" applyAlignment="1"/>
    <xf numFmtId="164" fontId="0" fillId="5" borderId="15" xfId="0" applyNumberFormat="1" applyFill="1" applyBorder="1" applyAlignment="1"/>
    <xf numFmtId="164" fontId="0" fillId="5" borderId="15" xfId="3" applyNumberFormat="1" applyFont="1" applyFill="1" applyBorder="1" applyAlignment="1"/>
    <xf numFmtId="0" fontId="0" fillId="5" borderId="16" xfId="0" applyFill="1" applyBorder="1" applyAlignment="1"/>
    <xf numFmtId="164" fontId="0" fillId="5" borderId="2" xfId="0" applyNumberFormat="1" applyFill="1" applyBorder="1" applyAlignment="1"/>
    <xf numFmtId="164" fontId="0" fillId="5" borderId="17" xfId="3" applyNumberFormat="1" applyFont="1" applyFill="1" applyBorder="1" applyAlignment="1"/>
    <xf numFmtId="42" fontId="0" fillId="5" borderId="0" xfId="0" applyNumberFormat="1" applyFill="1" applyAlignment="1"/>
    <xf numFmtId="0" fontId="0" fillId="0" borderId="0" xfId="0" applyAlignment="1">
      <alignment vertical="top" wrapText="1"/>
    </xf>
    <xf numFmtId="0" fontId="0" fillId="4" borderId="0" xfId="0" applyFill="1" applyAlignment="1">
      <alignment wrapText="1"/>
    </xf>
    <xf numFmtId="42" fontId="0" fillId="4" borderId="0" xfId="0" applyNumberFormat="1" applyFill="1" applyAlignment="1">
      <alignment wrapText="1"/>
    </xf>
    <xf numFmtId="0" fontId="3" fillId="4" borderId="0" xfId="0" applyFont="1" applyFill="1" applyAlignment="1">
      <alignment horizontal="center" vertical="top" wrapText="1"/>
    </xf>
    <xf numFmtId="0" fontId="0" fillId="4" borderId="0" xfId="0" applyFill="1" applyAlignment="1">
      <alignment vertical="top" wrapText="1"/>
    </xf>
    <xf numFmtId="0" fontId="18" fillId="4" borderId="0" xfId="0" applyFont="1" applyFill="1" applyAlignment="1"/>
    <xf numFmtId="0" fontId="30" fillId="4" borderId="0" xfId="0" applyFont="1" applyFill="1" applyAlignment="1">
      <alignment vertical="top"/>
    </xf>
    <xf numFmtId="42" fontId="0" fillId="4" borderId="0" xfId="0" applyNumberFormat="1" applyFill="1"/>
    <xf numFmtId="0" fontId="0" fillId="4" borderId="0" xfId="0" applyFill="1" applyAlignment="1"/>
    <xf numFmtId="42" fontId="0" fillId="4" borderId="0" xfId="0" applyNumberFormat="1" applyFill="1" applyAlignment="1"/>
    <xf numFmtId="0" fontId="0" fillId="4" borderId="0" xfId="0" applyFill="1" applyBorder="1" applyAlignment="1"/>
    <xf numFmtId="10" fontId="0" fillId="4" borderId="0" xfId="0" applyNumberFormat="1" applyFill="1" applyAlignment="1"/>
    <xf numFmtId="10" fontId="0" fillId="4" borderId="0" xfId="0" applyNumberFormat="1" applyFill="1" applyBorder="1" applyAlignment="1"/>
    <xf numFmtId="0" fontId="22" fillId="4" borderId="0" xfId="0" applyFont="1" applyFill="1" applyBorder="1" applyAlignment="1"/>
    <xf numFmtId="0" fontId="18" fillId="4" borderId="0" xfId="0" applyFont="1" applyFill="1" applyBorder="1" applyAlignment="1"/>
    <xf numFmtId="6" fontId="3" fillId="4" borderId="0" xfId="0" applyNumberFormat="1" applyFont="1" applyFill="1" applyAlignment="1">
      <alignment horizontal="center"/>
    </xf>
    <xf numFmtId="0" fontId="3" fillId="4" borderId="0" xfId="0" applyFont="1" applyFill="1" applyAlignment="1">
      <alignment horizontal="center"/>
    </xf>
    <xf numFmtId="166" fontId="22" fillId="4" borderId="0" xfId="0" applyNumberFormat="1" applyFont="1" applyFill="1" applyAlignment="1">
      <alignment horizontal="center"/>
    </xf>
    <xf numFmtId="166" fontId="18" fillId="4" borderId="0" xfId="0" applyNumberFormat="1" applyFont="1" applyFill="1" applyAlignment="1">
      <alignment horizontal="center"/>
    </xf>
    <xf numFmtId="164" fontId="0" fillId="4" borderId="0" xfId="3" applyNumberFormat="1" applyFont="1" applyFill="1" applyAlignment="1"/>
    <xf numFmtId="165" fontId="0" fillId="4" borderId="0" xfId="4" applyNumberFormat="1" applyFont="1" applyFill="1" applyAlignment="1"/>
    <xf numFmtId="164" fontId="18" fillId="4" borderId="0" xfId="3" applyNumberFormat="1" applyFont="1" applyFill="1" applyAlignment="1"/>
    <xf numFmtId="0" fontId="18" fillId="4" borderId="0" xfId="3" applyNumberFormat="1" applyFont="1" applyFill="1" applyAlignment="1">
      <alignment horizontal="center"/>
    </xf>
    <xf numFmtId="164" fontId="1" fillId="4" borderId="0" xfId="3" applyNumberFormat="1" applyFont="1" applyFill="1" applyBorder="1" applyAlignment="1"/>
    <xf numFmtId="164" fontId="21" fillId="4" borderId="0" xfId="0" applyNumberFormat="1" applyFont="1" applyFill="1" applyBorder="1" applyAlignment="1"/>
    <xf numFmtId="0" fontId="3" fillId="4" borderId="0" xfId="0" applyFont="1" applyFill="1" applyBorder="1" applyAlignment="1"/>
    <xf numFmtId="164" fontId="3" fillId="4" borderId="0" xfId="3" applyNumberFormat="1" applyFont="1" applyFill="1" applyBorder="1" applyAlignment="1"/>
    <xf numFmtId="10" fontId="0" fillId="4" borderId="0" xfId="1" applyNumberFormat="1" applyFont="1" applyFill="1" applyAlignment="1"/>
    <xf numFmtId="164" fontId="3" fillId="4" borderId="0" xfId="3" applyNumberFormat="1" applyFont="1" applyFill="1" applyAlignment="1"/>
    <xf numFmtId="0" fontId="25" fillId="4" borderId="0" xfId="0" applyFont="1" applyFill="1" applyBorder="1" applyAlignment="1">
      <alignment vertical="center" wrapText="1"/>
    </xf>
    <xf numFmtId="0" fontId="0" fillId="4" borderId="0" xfId="0" applyFill="1" applyBorder="1"/>
    <xf numFmtId="0" fontId="27" fillId="4" borderId="0" xfId="0" applyFont="1" applyFill="1"/>
    <xf numFmtId="0" fontId="27" fillId="4" borderId="0" xfId="0" applyFont="1" applyFill="1" applyAlignment="1">
      <alignment horizontal="left"/>
    </xf>
    <xf numFmtId="0" fontId="26" fillId="4" borderId="0" xfId="0" applyFont="1" applyFill="1" applyBorder="1" applyAlignment="1">
      <alignment horizontal="left" vertical="center" wrapText="1"/>
    </xf>
    <xf numFmtId="164" fontId="1" fillId="4" borderId="0" xfId="3" applyNumberFormat="1" applyFont="1" applyFill="1" applyAlignment="1"/>
    <xf numFmtId="164" fontId="21" fillId="4" borderId="0" xfId="3" applyNumberFormat="1" applyFont="1" applyFill="1" applyBorder="1" applyAlignment="1"/>
    <xf numFmtId="165" fontId="1" fillId="4" borderId="0" xfId="4" applyNumberFormat="1" applyFont="1" applyFill="1" applyAlignment="1"/>
    <xf numFmtId="165" fontId="1" fillId="4" borderId="0" xfId="4" applyNumberFormat="1" applyFont="1" applyFill="1" applyBorder="1" applyAlignment="1"/>
    <xf numFmtId="164" fontId="1" fillId="4" borderId="0" xfId="0" applyNumberFormat="1" applyFont="1" applyFill="1" applyBorder="1" applyAlignment="1"/>
    <xf numFmtId="0" fontId="0" fillId="4" borderId="0" xfId="0" applyFill="1" applyAlignment="1">
      <alignment vertical="top"/>
    </xf>
    <xf numFmtId="6" fontId="20" fillId="4" borderId="0" xfId="0" applyNumberFormat="1" applyFont="1" applyFill="1" applyAlignment="1">
      <alignment horizontal="center" vertical="top"/>
    </xf>
    <xf numFmtId="42" fontId="0" fillId="4" borderId="22" xfId="0" applyNumberFormat="1" applyFill="1" applyBorder="1" applyAlignment="1">
      <alignment horizontal="left"/>
    </xf>
    <xf numFmtId="10" fontId="0" fillId="4" borderId="23" xfId="0" applyNumberFormat="1" applyFont="1" applyFill="1" applyBorder="1" applyAlignment="1"/>
    <xf numFmtId="43" fontId="0" fillId="4" borderId="23" xfId="3" applyFont="1" applyFill="1" applyBorder="1" applyAlignment="1"/>
    <xf numFmtId="10" fontId="0" fillId="4" borderId="23" xfId="1" applyNumberFormat="1" applyFont="1" applyFill="1" applyBorder="1" applyAlignment="1"/>
    <xf numFmtId="10" fontId="0" fillId="4" borderId="23" xfId="0" applyNumberFormat="1" applyFont="1" applyFill="1" applyBorder="1" applyAlignment="1">
      <alignment horizontal="right"/>
    </xf>
    <xf numFmtId="10" fontId="23" fillId="4" borderId="23" xfId="0" applyNumberFormat="1" applyFont="1" applyFill="1" applyBorder="1" applyAlignment="1"/>
    <xf numFmtId="42" fontId="0" fillId="4" borderId="24" xfId="0" applyNumberFormat="1" applyFill="1" applyBorder="1" applyAlignment="1"/>
    <xf numFmtId="0" fontId="0" fillId="4" borderId="25" xfId="0" applyFill="1" applyBorder="1" applyAlignment="1"/>
    <xf numFmtId="10" fontId="23" fillId="4" borderId="26" xfId="0" applyNumberFormat="1" applyFont="1" applyFill="1" applyBorder="1" applyAlignment="1"/>
    <xf numFmtId="42" fontId="0" fillId="4" borderId="27" xfId="0" applyNumberFormat="1" applyFill="1" applyBorder="1" applyAlignment="1">
      <alignment horizontal="left"/>
    </xf>
    <xf numFmtId="0" fontId="0" fillId="4" borderId="28" xfId="0" applyFill="1" applyBorder="1" applyAlignment="1"/>
    <xf numFmtId="42" fontId="23" fillId="4" borderId="29" xfId="0" applyNumberFormat="1" applyFont="1" applyFill="1" applyBorder="1" applyAlignment="1"/>
    <xf numFmtId="164" fontId="0" fillId="4" borderId="22" xfId="3" applyNumberFormat="1" applyFont="1" applyFill="1" applyBorder="1" applyAlignment="1"/>
    <xf numFmtId="165" fontId="1" fillId="4" borderId="23" xfId="4" applyNumberFormat="1" applyFont="1" applyFill="1" applyBorder="1" applyAlignment="1"/>
    <xf numFmtId="164" fontId="1" fillId="4" borderId="23" xfId="0" applyNumberFormat="1" applyFont="1" applyFill="1" applyBorder="1" applyAlignment="1"/>
    <xf numFmtId="164" fontId="21" fillId="4" borderId="23" xfId="0" applyNumberFormat="1" applyFont="1" applyFill="1" applyBorder="1" applyAlignment="1"/>
    <xf numFmtId="164" fontId="3" fillId="4" borderId="22" xfId="3" applyNumberFormat="1" applyFont="1" applyFill="1" applyBorder="1" applyAlignment="1"/>
    <xf numFmtId="165" fontId="3" fillId="4" borderId="23" xfId="4" applyNumberFormat="1" applyFont="1" applyFill="1" applyBorder="1" applyAlignment="1"/>
    <xf numFmtId="164" fontId="19" fillId="4" borderId="22" xfId="3" applyNumberFormat="1" applyFont="1" applyFill="1" applyBorder="1" applyAlignment="1"/>
    <xf numFmtId="10" fontId="19" fillId="4" borderId="23" xfId="1" applyNumberFormat="1" applyFont="1" applyFill="1" applyBorder="1" applyAlignment="1"/>
    <xf numFmtId="10" fontId="1" fillId="4" borderId="23" xfId="1" applyNumberFormat="1" applyFont="1" applyFill="1" applyBorder="1" applyAlignment="1"/>
    <xf numFmtId="164" fontId="3" fillId="4" borderId="24" xfId="3" applyNumberFormat="1" applyFont="1" applyFill="1" applyBorder="1" applyAlignment="1"/>
    <xf numFmtId="164" fontId="3" fillId="4" borderId="25" xfId="3" applyNumberFormat="1" applyFont="1" applyFill="1" applyBorder="1" applyAlignment="1"/>
    <xf numFmtId="10" fontId="19" fillId="4" borderId="26" xfId="1" applyNumberFormat="1" applyFont="1" applyFill="1" applyBorder="1" applyAlignment="1"/>
    <xf numFmtId="164" fontId="0" fillId="4" borderId="27" xfId="3" applyNumberFormat="1" applyFont="1" applyFill="1" applyBorder="1" applyAlignment="1"/>
    <xf numFmtId="165" fontId="1" fillId="4" borderId="28" xfId="4" applyNumberFormat="1" applyFont="1" applyFill="1" applyBorder="1" applyAlignment="1"/>
    <xf numFmtId="165" fontId="1" fillId="4" borderId="29" xfId="4" applyNumberFormat="1" applyFont="1" applyFill="1" applyBorder="1" applyAlignment="1"/>
    <xf numFmtId="0" fontId="32" fillId="6" borderId="27" xfId="0" applyFont="1" applyFill="1" applyBorder="1"/>
    <xf numFmtId="0" fontId="32" fillId="6" borderId="28" xfId="0" applyFont="1" applyFill="1" applyBorder="1" applyAlignment="1">
      <alignment horizontal="center"/>
    </xf>
    <xf numFmtId="0" fontId="32" fillId="6" borderId="29" xfId="0" applyFont="1" applyFill="1" applyBorder="1" applyAlignment="1">
      <alignment horizontal="center"/>
    </xf>
    <xf numFmtId="0" fontId="3" fillId="4" borderId="0" xfId="0" applyFont="1" applyFill="1" applyAlignment="1">
      <alignment horizontal="left" wrapText="1"/>
    </xf>
    <xf numFmtId="0" fontId="3" fillId="4" borderId="0" xfId="0" applyFont="1" applyFill="1" applyAlignment="1">
      <alignment horizontal="left" vertical="top" wrapText="1"/>
    </xf>
    <xf numFmtId="0" fontId="24" fillId="0" borderId="12" xfId="0" applyFont="1" applyBorder="1"/>
    <xf numFmtId="10" fontId="0" fillId="0" borderId="18" xfId="0" applyNumberFormat="1" applyBorder="1" applyAlignment="1">
      <alignment horizontal="center"/>
    </xf>
    <xf numFmtId="0" fontId="0" fillId="0" borderId="13" xfId="0" applyBorder="1" applyAlignment="1">
      <alignment horizontal="center"/>
    </xf>
    <xf numFmtId="0" fontId="24" fillId="0" borderId="14" xfId="0" applyFont="1" applyBorder="1"/>
    <xf numFmtId="10" fontId="0" fillId="0" borderId="0" xfId="0" applyNumberFormat="1" applyAlignment="1">
      <alignment horizontal="center"/>
    </xf>
    <xf numFmtId="0" fontId="0" fillId="0" borderId="15" xfId="0" applyBorder="1" applyAlignment="1">
      <alignment horizontal="center"/>
    </xf>
    <xf numFmtId="0" fontId="0" fillId="5" borderId="15" xfId="0" applyFill="1" applyBorder="1" applyAlignment="1">
      <alignment horizontal="center"/>
    </xf>
    <xf numFmtId="0" fontId="24" fillId="0" borderId="16" xfId="0" applyFont="1" applyBorder="1"/>
    <xf numFmtId="10" fontId="0" fillId="0" borderId="2" xfId="0" applyNumberFormat="1" applyBorder="1" applyAlignment="1">
      <alignment horizontal="center"/>
    </xf>
    <xf numFmtId="0" fontId="0" fillId="0" borderId="17" xfId="0" applyBorder="1" applyAlignment="1">
      <alignment horizontal="center"/>
    </xf>
    <xf numFmtId="167" fontId="0" fillId="4" borderId="0" xfId="0" applyNumberFormat="1" applyFill="1" applyAlignment="1"/>
    <xf numFmtId="43" fontId="0" fillId="4" borderId="0" xfId="0" applyNumberFormat="1" applyFill="1" applyAlignment="1"/>
    <xf numFmtId="0" fontId="0" fillId="0" borderId="15" xfId="0" applyFill="1" applyBorder="1" applyAlignment="1">
      <alignment horizontal="center"/>
    </xf>
    <xf numFmtId="0" fontId="28" fillId="4" borderId="0" xfId="0" applyFont="1" applyFill="1" applyAlignment="1">
      <alignment horizontal="center" wrapText="1"/>
    </xf>
    <xf numFmtId="0" fontId="29" fillId="4" borderId="0" xfId="0" applyFont="1" applyFill="1" applyAlignment="1">
      <alignment horizontal="center" wrapText="1"/>
    </xf>
    <xf numFmtId="0" fontId="31" fillId="4" borderId="0" xfId="0" applyFont="1" applyFill="1" applyAlignment="1">
      <alignment horizontal="center" vertical="top" wrapText="1"/>
    </xf>
    <xf numFmtId="164" fontId="32" fillId="6" borderId="27" xfId="3" applyNumberFormat="1" applyFont="1" applyFill="1" applyBorder="1" applyAlignment="1">
      <alignment horizontal="center" vertical="center"/>
    </xf>
    <xf numFmtId="164" fontId="32" fillId="6" borderId="28" xfId="3" applyNumberFormat="1" applyFont="1" applyFill="1" applyBorder="1" applyAlignment="1">
      <alignment horizontal="center" vertical="center"/>
    </xf>
    <xf numFmtId="164" fontId="32" fillId="6" borderId="29" xfId="3" applyNumberFormat="1" applyFont="1" applyFill="1" applyBorder="1" applyAlignment="1">
      <alignment horizontal="center" vertical="center"/>
    </xf>
    <xf numFmtId="0" fontId="19" fillId="5" borderId="19" xfId="0" applyFont="1" applyFill="1" applyBorder="1" applyAlignment="1">
      <alignment horizontal="center"/>
    </xf>
    <xf numFmtId="0" fontId="19" fillId="5" borderId="20" xfId="0" applyFont="1" applyFill="1" applyBorder="1" applyAlignment="1">
      <alignment horizontal="center"/>
    </xf>
    <xf numFmtId="0" fontId="19" fillId="5" borderId="21" xfId="0" applyFont="1" applyFill="1" applyBorder="1" applyAlignment="1">
      <alignment horizontal="center"/>
    </xf>
    <xf numFmtId="0" fontId="29" fillId="4" borderId="0" xfId="0" applyFont="1" applyFill="1" applyAlignment="1">
      <alignment horizontal="center"/>
    </xf>
    <xf numFmtId="0" fontId="32" fillId="6" borderId="27" xfId="0" applyFont="1" applyFill="1" applyBorder="1" applyAlignment="1">
      <alignment horizontal="center" vertical="center"/>
    </xf>
    <xf numFmtId="0" fontId="32" fillId="6" borderId="28" xfId="0" applyFont="1" applyFill="1" applyBorder="1" applyAlignment="1">
      <alignment horizontal="center" vertical="center"/>
    </xf>
    <xf numFmtId="0" fontId="32" fillId="6" borderId="29" xfId="0" applyFont="1" applyFill="1" applyBorder="1" applyAlignment="1">
      <alignment horizontal="center" vertical="center"/>
    </xf>
    <xf numFmtId="0" fontId="25" fillId="4" borderId="0"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19" fillId="5" borderId="0" xfId="0" applyFont="1" applyFill="1" applyAlignment="1">
      <alignment horizontal="center"/>
    </xf>
    <xf numFmtId="164" fontId="14" fillId="0" borderId="0" xfId="3" applyNumberFormat="1" applyFont="1" applyAlignment="1">
      <alignment horizontal="center"/>
    </xf>
    <xf numFmtId="164" fontId="5" fillId="0" borderId="0" xfId="3" applyNumberFormat="1" applyFont="1" applyBorder="1" applyAlignment="1">
      <alignment horizontal="center"/>
    </xf>
    <xf numFmtId="164" fontId="5" fillId="0" borderId="0" xfId="3" applyNumberFormat="1" applyFont="1" applyAlignment="1">
      <alignment horizontal="center"/>
    </xf>
    <xf numFmtId="164" fontId="12" fillId="0" borderId="0" xfId="3" applyNumberFormat="1" applyFont="1" applyAlignment="1">
      <alignment horizontal="center"/>
    </xf>
    <xf numFmtId="164" fontId="13" fillId="0" borderId="0" xfId="3" applyNumberFormat="1" applyFont="1" applyAlignment="1">
      <alignment horizontal="center"/>
    </xf>
    <xf numFmtId="164" fontId="8" fillId="0" borderId="14" xfId="3" applyNumberFormat="1" applyFont="1" applyBorder="1" applyAlignment="1">
      <alignment horizontal="center"/>
    </xf>
    <xf numFmtId="164" fontId="8" fillId="0" borderId="0" xfId="3" applyNumberFormat="1" applyFont="1" applyBorder="1" applyAlignment="1">
      <alignment horizontal="center"/>
    </xf>
    <xf numFmtId="164" fontId="9" fillId="0" borderId="19" xfId="3" applyNumberFormat="1" applyFont="1" applyBorder="1" applyAlignment="1">
      <alignment horizontal="center"/>
    </xf>
    <xf numFmtId="164" fontId="9" fillId="0" borderId="20" xfId="3" applyNumberFormat="1" applyFont="1" applyBorder="1" applyAlignment="1">
      <alignment horizontal="center"/>
    </xf>
    <xf numFmtId="164" fontId="9" fillId="0" borderId="21" xfId="3" applyNumberFormat="1" applyFont="1" applyBorder="1" applyAlignment="1">
      <alignment horizontal="center"/>
    </xf>
  </cellXfs>
  <cellStyles count="5">
    <cellStyle name="Comma" xfId="3" builtinId="3"/>
    <cellStyle name="Currency" xfId="4" builtinId="4"/>
    <cellStyle name="Input" xfId="2" builtinId="20"/>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101600</xdr:rowOff>
    </xdr:from>
    <xdr:to>
      <xdr:col>2</xdr:col>
      <xdr:colOff>1004732</xdr:colOff>
      <xdr:row>0</xdr:row>
      <xdr:rowOff>810260</xdr:rowOff>
    </xdr:to>
    <xdr:pic>
      <xdr:nvPicPr>
        <xdr:cNvPr id="3" name="Picture 2">
          <a:extLst>
            <a:ext uri="{FF2B5EF4-FFF2-40B4-BE49-F238E27FC236}">
              <a16:creationId xmlns:a16="http://schemas.microsoft.com/office/drawing/2014/main" id="{BBBE3349-85A4-DE41-A13B-92442D6802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101600"/>
          <a:ext cx="1576232" cy="708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55880</xdr:colOff>
      <xdr:row>0</xdr:row>
      <xdr:rowOff>114300</xdr:rowOff>
    </xdr:from>
    <xdr:to>
      <xdr:col>2</xdr:col>
      <xdr:colOff>819312</xdr:colOff>
      <xdr:row>0</xdr:row>
      <xdr:rowOff>822960</xdr:rowOff>
    </xdr:to>
    <xdr:pic>
      <xdr:nvPicPr>
        <xdr:cNvPr id="2" name="Picture 1">
          <a:extLst>
            <a:ext uri="{FF2B5EF4-FFF2-40B4-BE49-F238E27FC236}">
              <a16:creationId xmlns:a16="http://schemas.microsoft.com/office/drawing/2014/main" id="{BF021E44-AE47-42F9-9A9C-304B0484E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 y="114300"/>
          <a:ext cx="1502572" cy="708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0</xdr:row>
      <xdr:rowOff>114300</xdr:rowOff>
    </xdr:from>
    <xdr:to>
      <xdr:col>3</xdr:col>
      <xdr:colOff>346872</xdr:colOff>
      <xdr:row>0</xdr:row>
      <xdr:rowOff>822960</xdr:rowOff>
    </xdr:to>
    <xdr:pic>
      <xdr:nvPicPr>
        <xdr:cNvPr id="2" name="Picture 1">
          <a:extLst>
            <a:ext uri="{FF2B5EF4-FFF2-40B4-BE49-F238E27FC236}">
              <a16:creationId xmlns:a16="http://schemas.microsoft.com/office/drawing/2014/main" id="{D4CCED61-1B36-4847-83C2-8CFFF699AA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14300"/>
          <a:ext cx="1502572" cy="708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xdr:colOff>
      <xdr:row>16</xdr:row>
      <xdr:rowOff>160020</xdr:rowOff>
    </xdr:from>
    <xdr:to>
      <xdr:col>4</xdr:col>
      <xdr:colOff>15240</xdr:colOff>
      <xdr:row>16</xdr:row>
      <xdr:rowOff>160020</xdr:rowOff>
    </xdr:to>
    <xdr:cxnSp macro="">
      <xdr:nvCxnSpPr>
        <xdr:cNvPr id="3" name="Straight Arrow Connector 2">
          <a:extLst>
            <a:ext uri="{FF2B5EF4-FFF2-40B4-BE49-F238E27FC236}">
              <a16:creationId xmlns:a16="http://schemas.microsoft.com/office/drawing/2014/main" id="{66A07126-FB96-49EC-86A5-636FAA9ECA39}"/>
            </a:ext>
          </a:extLst>
        </xdr:cNvPr>
        <xdr:cNvCxnSpPr/>
      </xdr:nvCxnSpPr>
      <xdr:spPr>
        <a:xfrm>
          <a:off x="2857500" y="249174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167640</xdr:rowOff>
    </xdr:from>
    <xdr:to>
      <xdr:col>6</xdr:col>
      <xdr:colOff>7620</xdr:colOff>
      <xdr:row>16</xdr:row>
      <xdr:rowOff>167640</xdr:rowOff>
    </xdr:to>
    <xdr:cxnSp macro="">
      <xdr:nvCxnSpPr>
        <xdr:cNvPr id="4" name="Straight Arrow Connector 3">
          <a:extLst>
            <a:ext uri="{FF2B5EF4-FFF2-40B4-BE49-F238E27FC236}">
              <a16:creationId xmlns:a16="http://schemas.microsoft.com/office/drawing/2014/main" id="{2F02F4E9-F87F-491C-8060-5A430D737FCE}"/>
            </a:ext>
          </a:extLst>
        </xdr:cNvPr>
        <xdr:cNvCxnSpPr/>
      </xdr:nvCxnSpPr>
      <xdr:spPr>
        <a:xfrm>
          <a:off x="4602480" y="249936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175260</xdr:rowOff>
    </xdr:from>
    <xdr:to>
      <xdr:col>12</xdr:col>
      <xdr:colOff>7620</xdr:colOff>
      <xdr:row>16</xdr:row>
      <xdr:rowOff>182880</xdr:rowOff>
    </xdr:to>
    <xdr:cxnSp macro="">
      <xdr:nvCxnSpPr>
        <xdr:cNvPr id="5" name="Straight Arrow Connector 4">
          <a:extLst>
            <a:ext uri="{FF2B5EF4-FFF2-40B4-BE49-F238E27FC236}">
              <a16:creationId xmlns:a16="http://schemas.microsoft.com/office/drawing/2014/main" id="{3AECD2E9-07F3-4852-AD1C-CBE9DFEB6BD3}"/>
            </a:ext>
          </a:extLst>
        </xdr:cNvPr>
        <xdr:cNvCxnSpPr/>
      </xdr:nvCxnSpPr>
      <xdr:spPr>
        <a:xfrm>
          <a:off x="6408420" y="2682240"/>
          <a:ext cx="5265420" cy="762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xdr:colOff>
      <xdr:row>29</xdr:row>
      <xdr:rowOff>182880</xdr:rowOff>
    </xdr:from>
    <xdr:to>
      <xdr:col>7</xdr:col>
      <xdr:colOff>0</xdr:colOff>
      <xdr:row>29</xdr:row>
      <xdr:rowOff>182880</xdr:rowOff>
    </xdr:to>
    <xdr:cxnSp macro="">
      <xdr:nvCxnSpPr>
        <xdr:cNvPr id="8" name="Straight Arrow Connector 7">
          <a:extLst>
            <a:ext uri="{FF2B5EF4-FFF2-40B4-BE49-F238E27FC236}">
              <a16:creationId xmlns:a16="http://schemas.microsoft.com/office/drawing/2014/main" id="{E49D8637-F2D5-4340-9C0D-ABBA8504F299}"/>
            </a:ext>
          </a:extLst>
        </xdr:cNvPr>
        <xdr:cNvCxnSpPr/>
      </xdr:nvCxnSpPr>
      <xdr:spPr>
        <a:xfrm>
          <a:off x="2910840" y="5410200"/>
          <a:ext cx="437388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182880</xdr:rowOff>
    </xdr:from>
    <xdr:to>
      <xdr:col>9</xdr:col>
      <xdr:colOff>7620</xdr:colOff>
      <xdr:row>29</xdr:row>
      <xdr:rowOff>182880</xdr:rowOff>
    </xdr:to>
    <xdr:cxnSp macro="">
      <xdr:nvCxnSpPr>
        <xdr:cNvPr id="10" name="Straight Arrow Connector 9">
          <a:extLst>
            <a:ext uri="{FF2B5EF4-FFF2-40B4-BE49-F238E27FC236}">
              <a16:creationId xmlns:a16="http://schemas.microsoft.com/office/drawing/2014/main" id="{443B144A-D3F6-4816-A9E9-664B1113B299}"/>
            </a:ext>
          </a:extLst>
        </xdr:cNvPr>
        <xdr:cNvCxnSpPr/>
      </xdr:nvCxnSpPr>
      <xdr:spPr>
        <a:xfrm>
          <a:off x="7284720" y="541020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xdr:row>
      <xdr:rowOff>175260</xdr:rowOff>
    </xdr:from>
    <xdr:to>
      <xdr:col>11</xdr:col>
      <xdr:colOff>982980</xdr:colOff>
      <xdr:row>29</xdr:row>
      <xdr:rowOff>182880</xdr:rowOff>
    </xdr:to>
    <xdr:cxnSp macro="">
      <xdr:nvCxnSpPr>
        <xdr:cNvPr id="11" name="Straight Arrow Connector 10">
          <a:extLst>
            <a:ext uri="{FF2B5EF4-FFF2-40B4-BE49-F238E27FC236}">
              <a16:creationId xmlns:a16="http://schemas.microsoft.com/office/drawing/2014/main" id="{910FF611-6BEF-4CC5-96CD-463BB3E8649D}"/>
            </a:ext>
          </a:extLst>
        </xdr:cNvPr>
        <xdr:cNvCxnSpPr/>
      </xdr:nvCxnSpPr>
      <xdr:spPr>
        <a:xfrm flipV="1">
          <a:off x="10995660" y="5455920"/>
          <a:ext cx="982980" cy="762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Griffin Global - Standard">
  <a:themeElements>
    <a:clrScheme name="Griffin">
      <a:dk1>
        <a:srgbClr val="3F4450"/>
      </a:dk1>
      <a:lt1>
        <a:srgbClr val="FFFFFF"/>
      </a:lt1>
      <a:dk2>
        <a:srgbClr val="435363"/>
      </a:dk2>
      <a:lt2>
        <a:srgbClr val="FFFFFF"/>
      </a:lt2>
      <a:accent1>
        <a:srgbClr val="EE7624"/>
      </a:accent1>
      <a:accent2>
        <a:srgbClr val="7C98AB"/>
      </a:accent2>
      <a:accent3>
        <a:srgbClr val="587F71"/>
      </a:accent3>
      <a:accent4>
        <a:srgbClr val="00609C"/>
      </a:accent4>
      <a:accent5>
        <a:srgbClr val="005EB8"/>
      </a:accent5>
      <a:accent6>
        <a:srgbClr val="0071CE"/>
      </a:accent6>
      <a:hlink>
        <a:srgbClr val="EE7623"/>
      </a:hlink>
      <a:folHlink>
        <a:srgbClr val="435363"/>
      </a:folHlink>
    </a:clrScheme>
    <a:fontScheme name="Test">
      <a:majorFont>
        <a:latin typeface="Arial Bold"/>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2"/>
          </a:solidFill>
        </a:ln>
      </a:spPr>
      <a:bodyPr rtlCol="0" anchor="ctr"/>
      <a:lstStyle>
        <a:defPPr algn="ctr">
          <a:defRPr sz="1600">
            <a:solidFill>
              <a:schemeClr val="tx2"/>
            </a:solidFill>
            <a:latin typeface="Avenir Roman" charset="0"/>
            <a:ea typeface="Avenir Roman" charset="0"/>
            <a:cs typeface="Avenir Roman"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lIns="0" tIns="0" rIns="0" bIns="0" rtlCol="0">
        <a:noAutofit/>
      </a:bodyPr>
      <a:lstStyle>
        <a:defPPr algn="l">
          <a:defRPr dirty="0"/>
        </a:defPPr>
      </a:lstStyle>
    </a:txDef>
  </a:objectDefaults>
  <a:extraClrSchemeLst/>
  <a:extLst>
    <a:ext uri="{05A4C25C-085E-4340-85A3-A5531E510DB2}">
      <thm15:themeFamily xmlns:thm15="http://schemas.microsoft.com/office/thememl/2012/main" name="Griffin Global - Standard" id="{18AEAEEE-DE7A-C045-8512-3BCB88606D0E}" vid="{BE8C2D88-F1B5-1640-B043-BA1BA6B5378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5961-8C43-4181-8973-83187DE62F5A}">
  <dimension ref="A1:F72"/>
  <sheetViews>
    <sheetView workbookViewId="0">
      <selection activeCell="D28" sqref="D28"/>
    </sheetView>
  </sheetViews>
  <sheetFormatPr baseColWidth="10" defaultColWidth="8.6640625" defaultRowHeight="14" x14ac:dyDescent="0.15"/>
  <cols>
    <col min="1" max="1" width="54.1640625" customWidth="1"/>
    <col min="2" max="2" width="23.6640625" customWidth="1"/>
    <col min="3" max="4" width="20.6640625" customWidth="1"/>
    <col min="5" max="10" width="33.5" customWidth="1"/>
  </cols>
  <sheetData>
    <row r="1" spans="1:5" x14ac:dyDescent="0.15">
      <c r="C1" s="7"/>
      <c r="D1" s="7"/>
      <c r="E1" s="7"/>
    </row>
    <row r="2" spans="1:5" x14ac:dyDescent="0.15">
      <c r="A2" t="s">
        <v>1</v>
      </c>
      <c r="B2" s="1">
        <f>+'KAS Version'!B6</f>
        <v>1000000</v>
      </c>
      <c r="C2" s="8"/>
      <c r="D2" s="8"/>
      <c r="E2" s="8"/>
    </row>
    <row r="3" spans="1:5" x14ac:dyDescent="0.15">
      <c r="A3" t="s">
        <v>0</v>
      </c>
      <c r="B3" s="2">
        <f>+'KAS Version'!B8</f>
        <v>0.2</v>
      </c>
      <c r="C3" s="8"/>
      <c r="D3" s="8"/>
      <c r="E3" s="8"/>
    </row>
    <row r="4" spans="1:5" ht="15" x14ac:dyDescent="0.2">
      <c r="A4" t="s">
        <v>103</v>
      </c>
      <c r="B4" s="2">
        <f>+'KAS Version'!B11</f>
        <v>7.0000000000000007E-2</v>
      </c>
      <c r="C4" s="8"/>
      <c r="D4" s="8"/>
      <c r="E4" s="8"/>
    </row>
    <row r="5" spans="1:5" x14ac:dyDescent="0.15">
      <c r="B5" s="2"/>
      <c r="C5" s="8"/>
      <c r="D5" s="8"/>
      <c r="E5" s="8"/>
    </row>
    <row r="6" spans="1:5" x14ac:dyDescent="0.15">
      <c r="A6" s="88" t="s">
        <v>101</v>
      </c>
      <c r="B6" s="3">
        <f>+'KAS Version'!B33*((1+'KAS Version'!B10))</f>
        <v>1150000</v>
      </c>
      <c r="C6" s="8"/>
      <c r="D6" s="8"/>
      <c r="E6" s="8"/>
    </row>
    <row r="7" spans="1:5" ht="15" x14ac:dyDescent="0.2">
      <c r="A7" t="s">
        <v>102</v>
      </c>
      <c r="B7" s="3">
        <f>B6-B2</f>
        <v>150000</v>
      </c>
      <c r="C7" s="8"/>
      <c r="D7" s="8"/>
      <c r="E7" s="8"/>
    </row>
    <row r="8" spans="1:5" x14ac:dyDescent="0.15">
      <c r="A8" s="7" t="s">
        <v>14</v>
      </c>
      <c r="B8" s="8">
        <f>+'KAS Version'!L53</f>
        <v>168250</v>
      </c>
      <c r="C8" s="8"/>
      <c r="D8" s="8"/>
      <c r="E8" s="8"/>
    </row>
    <row r="9" spans="1:5" ht="15" thickBot="1" x14ac:dyDescent="0.2">
      <c r="A9" s="7"/>
      <c r="B9" s="8"/>
      <c r="C9" s="8"/>
      <c r="D9" s="8"/>
      <c r="E9" s="8"/>
    </row>
    <row r="10" spans="1:5" x14ac:dyDescent="0.15">
      <c r="A10" s="19" t="s">
        <v>24</v>
      </c>
      <c r="B10" s="28"/>
      <c r="C10" s="29"/>
      <c r="D10" s="8"/>
      <c r="E10" s="8"/>
    </row>
    <row r="11" spans="1:5" x14ac:dyDescent="0.15">
      <c r="A11" s="22"/>
      <c r="B11" s="12"/>
      <c r="C11" s="24"/>
      <c r="D11" s="8"/>
      <c r="E11" s="8"/>
    </row>
    <row r="12" spans="1:5" x14ac:dyDescent="0.15">
      <c r="A12" s="33" t="s">
        <v>25</v>
      </c>
      <c r="B12" s="15"/>
      <c r="C12" s="34"/>
      <c r="D12" s="8"/>
      <c r="E12" s="8"/>
    </row>
    <row r="13" spans="1:5" ht="32" thickBot="1" x14ac:dyDescent="0.2">
      <c r="A13" s="35" t="s">
        <v>100</v>
      </c>
      <c r="B13" s="36">
        <f>+'KAS Version'!B50+'KAS Version'!B52</f>
        <v>114590.14816265136</v>
      </c>
      <c r="C13" s="37" t="s">
        <v>26</v>
      </c>
      <c r="D13" s="8"/>
      <c r="E13" s="8"/>
    </row>
    <row r="14" spans="1:5" x14ac:dyDescent="0.15">
      <c r="A14" s="7"/>
      <c r="B14" s="8"/>
      <c r="C14" s="8"/>
      <c r="D14" s="8"/>
      <c r="E14" s="8"/>
    </row>
    <row r="15" spans="1:5" ht="15" thickBot="1" x14ac:dyDescent="0.2">
      <c r="A15" s="7"/>
      <c r="B15" s="8"/>
      <c r="C15" s="8"/>
      <c r="D15" s="8"/>
      <c r="E15" s="8"/>
    </row>
    <row r="16" spans="1:5" x14ac:dyDescent="0.15">
      <c r="A16" s="19"/>
      <c r="B16" s="20"/>
      <c r="C16" s="21"/>
      <c r="D16" s="9"/>
      <c r="E16" s="8"/>
    </row>
    <row r="17" spans="1:6" x14ac:dyDescent="0.15">
      <c r="A17" s="22" t="s">
        <v>3</v>
      </c>
      <c r="B17" s="23">
        <f>B2*-0.1</f>
        <v>-100000</v>
      </c>
      <c r="C17" s="24"/>
      <c r="D17" s="8"/>
      <c r="E17" s="8"/>
    </row>
    <row r="18" spans="1:6" x14ac:dyDescent="0.15">
      <c r="A18" s="22" t="s">
        <v>4</v>
      </c>
      <c r="B18" s="39">
        <f>B17/2</f>
        <v>-50000</v>
      </c>
      <c r="C18" s="24"/>
      <c r="D18" s="8"/>
      <c r="E18" s="8"/>
    </row>
    <row r="19" spans="1:6" x14ac:dyDescent="0.15">
      <c r="A19" s="22" t="s">
        <v>20</v>
      </c>
      <c r="B19" s="32">
        <f>SUM(B17:B18)</f>
        <v>-150000</v>
      </c>
      <c r="C19" s="25" t="s">
        <v>27</v>
      </c>
      <c r="D19" s="8"/>
      <c r="E19" s="8"/>
    </row>
    <row r="20" spans="1:6" ht="15" thickBot="1" x14ac:dyDescent="0.2">
      <c r="A20" s="26"/>
      <c r="B20" s="13"/>
      <c r="C20" s="27"/>
      <c r="D20" s="8"/>
      <c r="E20" s="8"/>
    </row>
    <row r="21" spans="1:6" ht="15" thickBot="1" x14ac:dyDescent="0.2">
      <c r="B21" s="4"/>
      <c r="C21" s="8"/>
      <c r="D21" s="8"/>
      <c r="E21" s="8"/>
    </row>
    <row r="22" spans="1:6" x14ac:dyDescent="0.15">
      <c r="A22" s="19" t="s">
        <v>22</v>
      </c>
      <c r="B22" s="28"/>
      <c r="C22" s="29"/>
      <c r="D22" s="8"/>
      <c r="E22" s="8"/>
    </row>
    <row r="23" spans="1:6" x14ac:dyDescent="0.15">
      <c r="A23" s="22" t="s">
        <v>21</v>
      </c>
      <c r="B23" s="12">
        <f>+'KAS Version'!L35</f>
        <v>1841250</v>
      </c>
      <c r="C23" s="24"/>
      <c r="D23" s="8"/>
      <c r="E23" s="8"/>
    </row>
    <row r="24" spans="1:6" x14ac:dyDescent="0.15">
      <c r="A24" s="22" t="s">
        <v>23</v>
      </c>
      <c r="B24" s="12">
        <f>B2</f>
        <v>1000000</v>
      </c>
      <c r="C24" s="24"/>
      <c r="D24" s="8"/>
      <c r="E24" s="8"/>
    </row>
    <row r="25" spans="1:6" x14ac:dyDescent="0.15">
      <c r="A25" s="22" t="s">
        <v>2</v>
      </c>
      <c r="B25" s="12">
        <f>B23-B24</f>
        <v>841250</v>
      </c>
      <c r="C25" s="24"/>
      <c r="D25" s="8"/>
      <c r="E25" s="8"/>
    </row>
    <row r="26" spans="1:6" x14ac:dyDescent="0.15">
      <c r="A26" s="22"/>
      <c r="B26" s="12"/>
      <c r="C26" s="24"/>
      <c r="D26" s="8"/>
      <c r="E26" s="8"/>
    </row>
    <row r="27" spans="1:6" x14ac:dyDescent="0.15">
      <c r="A27" s="22" t="s">
        <v>15</v>
      </c>
      <c r="B27" s="32">
        <f>-B25</f>
        <v>-841250</v>
      </c>
      <c r="C27" s="25" t="s">
        <v>28</v>
      </c>
      <c r="D27" s="8"/>
      <c r="E27" s="8"/>
      <c r="F27" s="5"/>
    </row>
    <row r="28" spans="1:6" ht="15" thickBot="1" x14ac:dyDescent="0.2">
      <c r="A28" s="30" t="s">
        <v>18</v>
      </c>
      <c r="B28" s="38">
        <f>B19+B27</f>
        <v>-991250</v>
      </c>
      <c r="C28" s="24"/>
      <c r="D28" s="8"/>
      <c r="E28" s="8"/>
      <c r="F28" s="5"/>
    </row>
    <row r="29" spans="1:6" ht="16" thickTop="1" thickBot="1" x14ac:dyDescent="0.2">
      <c r="A29" s="26"/>
      <c r="B29" s="14"/>
      <c r="C29" s="31"/>
      <c r="D29" s="7"/>
      <c r="E29" s="7"/>
      <c r="F29" s="1"/>
    </row>
    <row r="30" spans="1:6" x14ac:dyDescent="0.15">
      <c r="A30" s="16"/>
      <c r="B30" s="17"/>
      <c r="C30" s="18"/>
      <c r="D30" s="10"/>
      <c r="E30" s="8"/>
      <c r="F30" s="1"/>
    </row>
    <row r="31" spans="1:6" x14ac:dyDescent="0.15">
      <c r="D31" s="11"/>
      <c r="E31" s="8"/>
      <c r="F31" s="1"/>
    </row>
    <row r="32" spans="1:6" x14ac:dyDescent="0.15">
      <c r="B32" s="1"/>
      <c r="C32" s="1"/>
      <c r="D32" s="1"/>
      <c r="E32" s="1"/>
      <c r="F32" s="1"/>
    </row>
    <row r="33" spans="1:6" x14ac:dyDescent="0.15">
      <c r="B33" s="1" t="s">
        <v>17</v>
      </c>
      <c r="C33" s="1"/>
      <c r="D33" s="1" t="s">
        <v>16</v>
      </c>
      <c r="E33" s="1"/>
      <c r="F33" s="1"/>
    </row>
    <row r="34" spans="1:6" x14ac:dyDescent="0.15">
      <c r="B34" s="1">
        <f>B2</f>
        <v>1000000</v>
      </c>
      <c r="C34" s="1"/>
      <c r="D34" s="1">
        <v>200000</v>
      </c>
      <c r="E34" s="1"/>
    </row>
    <row r="35" spans="1:6" x14ac:dyDescent="0.15">
      <c r="A35" t="s">
        <v>5</v>
      </c>
      <c r="B35" s="1">
        <f>B34*(1+B$4)</f>
        <v>1070000</v>
      </c>
      <c r="C35" s="1"/>
      <c r="D35" s="1">
        <f>D34*(1+B$4)</f>
        <v>214000</v>
      </c>
      <c r="E35" s="1"/>
    </row>
    <row r="36" spans="1:6" x14ac:dyDescent="0.15">
      <c r="A36" t="s">
        <v>6</v>
      </c>
      <c r="B36" s="1">
        <f t="shared" ref="B36:B43" si="0">B35*(1+B$4)</f>
        <v>1144900</v>
      </c>
      <c r="C36" s="1"/>
      <c r="D36" s="1">
        <f t="shared" ref="D36:D40" si="1">D35*(1+B$4)</f>
        <v>228980</v>
      </c>
      <c r="E36" s="1"/>
    </row>
    <row r="37" spans="1:6" x14ac:dyDescent="0.15">
      <c r="A37" t="s">
        <v>7</v>
      </c>
      <c r="B37" s="1">
        <f t="shared" si="0"/>
        <v>1225043</v>
      </c>
      <c r="C37" s="1"/>
      <c r="D37" s="1">
        <f t="shared" si="1"/>
        <v>245008.6</v>
      </c>
      <c r="E37" s="1"/>
    </row>
    <row r="38" spans="1:6" x14ac:dyDescent="0.15">
      <c r="A38" t="s">
        <v>8</v>
      </c>
      <c r="B38" s="1">
        <f t="shared" si="0"/>
        <v>1310796.01</v>
      </c>
      <c r="C38" s="1"/>
      <c r="D38" s="1">
        <f t="shared" si="1"/>
        <v>262159.20200000005</v>
      </c>
      <c r="E38" s="1"/>
    </row>
    <row r="39" spans="1:6" x14ac:dyDescent="0.15">
      <c r="A39" t="s">
        <v>9</v>
      </c>
      <c r="B39" s="1">
        <f t="shared" si="0"/>
        <v>1402551.7307000002</v>
      </c>
      <c r="C39" s="1"/>
      <c r="D39" s="1">
        <f t="shared" si="1"/>
        <v>280510.3461400001</v>
      </c>
      <c r="E39" s="1"/>
    </row>
    <row r="40" spans="1:6" x14ac:dyDescent="0.15">
      <c r="A40" t="s">
        <v>10</v>
      </c>
      <c r="B40" s="1">
        <f t="shared" si="0"/>
        <v>1500730.3518490002</v>
      </c>
      <c r="C40" s="1"/>
      <c r="D40" s="1">
        <f t="shared" si="1"/>
        <v>300146.07036980015</v>
      </c>
      <c r="E40" s="1"/>
    </row>
    <row r="41" spans="1:6" x14ac:dyDescent="0.15">
      <c r="A41" t="s">
        <v>11</v>
      </c>
      <c r="B41" s="1">
        <f t="shared" si="0"/>
        <v>1605781.4764784302</v>
      </c>
      <c r="C41" s="1"/>
      <c r="D41" s="1"/>
      <c r="E41" s="1"/>
    </row>
    <row r="42" spans="1:6" x14ac:dyDescent="0.15">
      <c r="A42" t="s">
        <v>12</v>
      </c>
      <c r="B42" s="1">
        <f t="shared" si="0"/>
        <v>1718186.1798319204</v>
      </c>
      <c r="C42" s="1"/>
      <c r="D42" s="1"/>
      <c r="E42" s="1"/>
    </row>
    <row r="43" spans="1:6" x14ac:dyDescent="0.15">
      <c r="A43" t="s">
        <v>13</v>
      </c>
      <c r="B43" s="1">
        <f t="shared" si="0"/>
        <v>1838459.2124201551</v>
      </c>
      <c r="C43" s="1"/>
      <c r="D43" s="1"/>
      <c r="E43" s="1"/>
    </row>
    <row r="44" spans="1:6" x14ac:dyDescent="0.15">
      <c r="B44" s="1"/>
      <c r="C44" s="1"/>
      <c r="D44" s="6">
        <f>D40-D34</f>
        <v>100146.07036980015</v>
      </c>
      <c r="E44" s="6" t="s">
        <v>19</v>
      </c>
    </row>
    <row r="45" spans="1:6" x14ac:dyDescent="0.15">
      <c r="B45" s="1"/>
      <c r="C45" s="1"/>
      <c r="D45" s="1"/>
      <c r="E45" s="1"/>
    </row>
    <row r="46" spans="1:6" x14ac:dyDescent="0.15">
      <c r="B46" s="1"/>
      <c r="C46" s="1"/>
      <c r="D46" s="1"/>
      <c r="E46" s="1"/>
    </row>
    <row r="47" spans="1:6" x14ac:dyDescent="0.15">
      <c r="B47" s="1"/>
      <c r="C47" s="1"/>
      <c r="D47" s="1"/>
      <c r="E47" s="1"/>
    </row>
    <row r="48" spans="1:6" x14ac:dyDescent="0.15">
      <c r="B48" s="1"/>
      <c r="C48" s="1"/>
      <c r="D48" s="1"/>
      <c r="E48" s="1"/>
    </row>
    <row r="49" spans="2:5" x14ac:dyDescent="0.15">
      <c r="B49" s="1"/>
      <c r="C49" s="1"/>
      <c r="D49" s="1"/>
      <c r="E49" s="1"/>
    </row>
    <row r="50" spans="2:5" x14ac:dyDescent="0.15">
      <c r="B50" s="1"/>
      <c r="C50" s="1"/>
      <c r="D50" s="1"/>
      <c r="E50" s="1"/>
    </row>
    <row r="51" spans="2:5" x14ac:dyDescent="0.15">
      <c r="B51" s="1"/>
      <c r="C51" s="1"/>
      <c r="D51" s="1"/>
      <c r="E51" s="1"/>
    </row>
    <row r="52" spans="2:5" x14ac:dyDescent="0.15">
      <c r="B52" s="1"/>
      <c r="C52" s="1"/>
      <c r="D52" s="1"/>
      <c r="E52" s="1"/>
    </row>
    <row r="53" spans="2:5" x14ac:dyDescent="0.15">
      <c r="B53" s="1"/>
      <c r="C53" s="1"/>
      <c r="D53" s="1"/>
      <c r="E53" s="1"/>
    </row>
    <row r="54" spans="2:5" x14ac:dyDescent="0.15">
      <c r="B54" s="1"/>
      <c r="C54" s="1"/>
      <c r="D54" s="1"/>
      <c r="E54" s="1"/>
    </row>
    <row r="55" spans="2:5" x14ac:dyDescent="0.15">
      <c r="B55" s="1"/>
      <c r="C55" s="1"/>
      <c r="D55" s="1"/>
      <c r="E55" s="1"/>
    </row>
    <row r="56" spans="2:5" x14ac:dyDescent="0.15">
      <c r="B56" s="1"/>
      <c r="C56" s="1"/>
      <c r="D56" s="1"/>
      <c r="E56" s="1"/>
    </row>
    <row r="57" spans="2:5" x14ac:dyDescent="0.15">
      <c r="B57" s="1"/>
      <c r="C57" s="1"/>
      <c r="D57" s="1"/>
      <c r="E57" s="1"/>
    </row>
    <row r="58" spans="2:5" x14ac:dyDescent="0.15">
      <c r="B58" s="1"/>
      <c r="C58" s="1"/>
      <c r="D58" s="1"/>
      <c r="E58" s="1"/>
    </row>
    <row r="59" spans="2:5" x14ac:dyDescent="0.15">
      <c r="B59" s="1"/>
      <c r="C59" s="1"/>
      <c r="D59" s="1"/>
      <c r="E59" s="1"/>
    </row>
    <row r="60" spans="2:5" x14ac:dyDescent="0.15">
      <c r="B60" s="1"/>
      <c r="C60" s="1"/>
      <c r="D60" s="1"/>
      <c r="E60" s="1"/>
    </row>
    <row r="61" spans="2:5" x14ac:dyDescent="0.15">
      <c r="B61" s="1"/>
      <c r="C61" s="1"/>
      <c r="D61" s="1"/>
      <c r="E61" s="1"/>
    </row>
    <row r="62" spans="2:5" x14ac:dyDescent="0.15">
      <c r="B62" s="1"/>
      <c r="C62" s="1"/>
      <c r="D62" s="1"/>
      <c r="E62" s="1"/>
    </row>
    <row r="63" spans="2:5" x14ac:dyDescent="0.15">
      <c r="B63" s="1"/>
      <c r="C63" s="1"/>
      <c r="D63" s="1"/>
      <c r="E63" s="1"/>
    </row>
    <row r="64" spans="2:5" x14ac:dyDescent="0.15">
      <c r="B64" s="1"/>
      <c r="C64" s="1"/>
      <c r="D64" s="1"/>
      <c r="E64" s="1"/>
    </row>
    <row r="65" spans="2:5" x14ac:dyDescent="0.15">
      <c r="B65" s="1"/>
      <c r="C65" s="1"/>
      <c r="D65" s="1"/>
      <c r="E65" s="1"/>
    </row>
    <row r="66" spans="2:5" x14ac:dyDescent="0.15">
      <c r="B66" s="1"/>
      <c r="C66" s="1"/>
      <c r="D66" s="1"/>
      <c r="E66" s="1"/>
    </row>
    <row r="67" spans="2:5" x14ac:dyDescent="0.15">
      <c r="B67" s="1"/>
      <c r="C67" s="1"/>
      <c r="D67" s="1"/>
      <c r="E67" s="1"/>
    </row>
    <row r="68" spans="2:5" x14ac:dyDescent="0.15">
      <c r="B68" s="1"/>
      <c r="C68" s="1"/>
      <c r="D68" s="1"/>
      <c r="E68" s="1"/>
    </row>
    <row r="69" spans="2:5" x14ac:dyDescent="0.15">
      <c r="B69" s="1"/>
      <c r="C69" s="1"/>
      <c r="D69" s="1"/>
      <c r="E69" s="1"/>
    </row>
    <row r="70" spans="2:5" x14ac:dyDescent="0.15">
      <c r="B70" s="1"/>
      <c r="C70" s="1"/>
      <c r="D70" s="1"/>
      <c r="E70" s="1"/>
    </row>
    <row r="71" spans="2:5" x14ac:dyDescent="0.15">
      <c r="B71" s="1"/>
      <c r="C71" s="1"/>
      <c r="D71" s="1"/>
      <c r="E71" s="1"/>
    </row>
    <row r="72" spans="2:5" x14ac:dyDescent="0.15">
      <c r="B72" s="1"/>
      <c r="C72" s="1"/>
      <c r="D72" s="1"/>
      <c r="E72" s="1"/>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9CED6-7277-462E-9E26-A8E875D6A7E9}">
  <sheetPr>
    <pageSetUpPr fitToPage="1"/>
  </sheetPr>
  <dimension ref="A1:E44"/>
  <sheetViews>
    <sheetView tabSelected="1" topLeftCell="A6" workbookViewId="0">
      <selection activeCell="A8" sqref="A8"/>
    </sheetView>
  </sheetViews>
  <sheetFormatPr baseColWidth="10" defaultColWidth="8.6640625" defaultRowHeight="14" x14ac:dyDescent="0.15"/>
  <cols>
    <col min="1" max="1" width="8.6640625" style="92"/>
    <col min="2" max="2" width="8.5" style="92" customWidth="1"/>
    <col min="3" max="3" width="81.5" style="92" customWidth="1"/>
    <col min="4" max="16384" width="8.6640625" style="92"/>
  </cols>
  <sheetData>
    <row r="1" spans="1:5" ht="66" customHeight="1" x14ac:dyDescent="0.15">
      <c r="A1" s="111"/>
      <c r="B1" s="111"/>
      <c r="C1" s="111"/>
      <c r="D1" s="111"/>
      <c r="E1" s="111"/>
    </row>
    <row r="2" spans="1:5" ht="15" customHeight="1" x14ac:dyDescent="0.15">
      <c r="A2" s="111"/>
      <c r="B2" s="111"/>
      <c r="C2" s="111"/>
      <c r="D2" s="111"/>
      <c r="E2" s="111"/>
    </row>
    <row r="3" spans="1:5" ht="25" x14ac:dyDescent="0.25">
      <c r="A3" s="111"/>
      <c r="B3" s="196" t="s">
        <v>208</v>
      </c>
      <c r="C3" s="196"/>
      <c r="D3" s="111"/>
      <c r="E3" s="111"/>
    </row>
    <row r="4" spans="1:5" x14ac:dyDescent="0.15">
      <c r="A4" s="111"/>
      <c r="B4" s="111"/>
      <c r="C4" s="112"/>
      <c r="D4" s="111"/>
      <c r="E4" s="111"/>
    </row>
    <row r="5" spans="1:5" ht="18" x14ac:dyDescent="0.2">
      <c r="A5" s="111"/>
      <c r="B5" s="197" t="s">
        <v>209</v>
      </c>
      <c r="C5" s="197"/>
      <c r="D5" s="111"/>
      <c r="E5" s="111"/>
    </row>
    <row r="6" spans="1:5" x14ac:dyDescent="0.15">
      <c r="A6" s="111"/>
      <c r="B6" s="111"/>
      <c r="C6" s="111"/>
      <c r="D6" s="111"/>
      <c r="E6" s="111"/>
    </row>
    <row r="7" spans="1:5" s="110" customFormat="1" ht="25.25" customHeight="1" x14ac:dyDescent="0.15">
      <c r="A7" s="114"/>
      <c r="B7" s="116" t="s">
        <v>71</v>
      </c>
      <c r="C7" s="114"/>
      <c r="D7" s="114"/>
      <c r="E7" s="114"/>
    </row>
    <row r="8" spans="1:5" ht="64.25" customHeight="1" x14ac:dyDescent="0.15">
      <c r="A8" s="111"/>
      <c r="B8" s="113">
        <v>1</v>
      </c>
      <c r="C8" s="114" t="s">
        <v>213</v>
      </c>
      <c r="D8" s="111"/>
      <c r="E8" s="111"/>
    </row>
    <row r="9" spans="1:5" ht="79.25" customHeight="1" x14ac:dyDescent="0.15">
      <c r="A9" s="111"/>
      <c r="B9" s="113">
        <v>2</v>
      </c>
      <c r="C9" s="114" t="s">
        <v>215</v>
      </c>
      <c r="D9" s="111"/>
      <c r="E9" s="111"/>
    </row>
    <row r="10" spans="1:5" ht="65" customHeight="1" x14ac:dyDescent="0.15">
      <c r="A10" s="111"/>
      <c r="B10" s="113">
        <v>3</v>
      </c>
      <c r="C10" s="114" t="s">
        <v>190</v>
      </c>
      <c r="D10" s="111"/>
      <c r="E10" s="111"/>
    </row>
    <row r="11" spans="1:5" ht="115.25" customHeight="1" x14ac:dyDescent="0.15">
      <c r="A11" s="111"/>
      <c r="B11" s="113">
        <v>4</v>
      </c>
      <c r="C11" s="114" t="s">
        <v>191</v>
      </c>
      <c r="D11" s="111"/>
      <c r="E11" s="111"/>
    </row>
    <row r="12" spans="1:5" x14ac:dyDescent="0.15">
      <c r="A12" s="111"/>
      <c r="B12" s="111"/>
      <c r="C12" s="111"/>
      <c r="D12" s="111"/>
      <c r="E12" s="111"/>
    </row>
    <row r="13" spans="1:5" s="110" customFormat="1" ht="26" customHeight="1" x14ac:dyDescent="0.15">
      <c r="A13" s="114"/>
      <c r="B13" s="116" t="s">
        <v>192</v>
      </c>
      <c r="C13" s="114"/>
      <c r="D13" s="114"/>
      <c r="E13" s="114"/>
    </row>
    <row r="14" spans="1:5" ht="28.25" customHeight="1" x14ac:dyDescent="0.15">
      <c r="A14" s="111"/>
      <c r="B14" s="198" t="s">
        <v>193</v>
      </c>
      <c r="C14" s="198"/>
      <c r="D14" s="111"/>
      <c r="E14" s="111"/>
    </row>
    <row r="15" spans="1:5" ht="14.75" customHeight="1" x14ac:dyDescent="0.15">
      <c r="A15" s="111"/>
      <c r="B15" s="181" t="s">
        <v>203</v>
      </c>
      <c r="C15" s="111" t="s">
        <v>194</v>
      </c>
      <c r="D15" s="111"/>
      <c r="E15" s="111"/>
    </row>
    <row r="16" spans="1:5" ht="14.75" customHeight="1" x14ac:dyDescent="0.15">
      <c r="A16" s="111"/>
      <c r="B16" s="181" t="s">
        <v>204</v>
      </c>
      <c r="C16" s="111" t="s">
        <v>217</v>
      </c>
      <c r="D16" s="111"/>
      <c r="E16" s="111"/>
    </row>
    <row r="17" spans="1:5" ht="15" x14ac:dyDescent="0.15">
      <c r="A17" s="111"/>
      <c r="B17" s="181" t="s">
        <v>205</v>
      </c>
      <c r="C17" s="111" t="s">
        <v>195</v>
      </c>
      <c r="D17" s="111"/>
      <c r="E17" s="111"/>
    </row>
    <row r="18" spans="1:5" ht="30" x14ac:dyDescent="0.15">
      <c r="A18" s="111"/>
      <c r="B18" s="182" t="s">
        <v>206</v>
      </c>
      <c r="C18" s="114" t="s">
        <v>196</v>
      </c>
      <c r="D18" s="111"/>
      <c r="E18" s="111"/>
    </row>
    <row r="19" spans="1:5" ht="15" x14ac:dyDescent="0.15">
      <c r="A19" s="111"/>
      <c r="B19" s="181" t="s">
        <v>207</v>
      </c>
      <c r="C19" s="111" t="s">
        <v>216</v>
      </c>
      <c r="D19" s="111"/>
      <c r="E19" s="111"/>
    </row>
    <row r="20" spans="1:5" x14ac:dyDescent="0.15">
      <c r="A20" s="111"/>
      <c r="B20" s="111"/>
      <c r="C20" s="111"/>
      <c r="D20" s="111"/>
      <c r="E20" s="111"/>
    </row>
    <row r="21" spans="1:5" x14ac:dyDescent="0.15">
      <c r="A21" s="111"/>
      <c r="B21" s="111"/>
      <c r="C21" s="111"/>
      <c r="D21" s="111"/>
      <c r="E21" s="111"/>
    </row>
    <row r="22" spans="1:5" x14ac:dyDescent="0.15">
      <c r="A22" s="111"/>
      <c r="B22" s="111"/>
      <c r="C22" s="111"/>
      <c r="D22" s="111"/>
      <c r="E22" s="111"/>
    </row>
    <row r="23" spans="1:5" x14ac:dyDescent="0.15">
      <c r="A23" s="111"/>
      <c r="B23" s="111"/>
      <c r="C23" s="111"/>
      <c r="D23" s="111"/>
      <c r="E23" s="111"/>
    </row>
    <row r="24" spans="1:5" x14ac:dyDescent="0.15">
      <c r="A24" s="111"/>
      <c r="B24" s="111"/>
      <c r="C24" s="111"/>
      <c r="D24" s="111"/>
      <c r="E24" s="111"/>
    </row>
    <row r="25" spans="1:5" x14ac:dyDescent="0.15">
      <c r="A25" s="111"/>
      <c r="B25" s="111"/>
      <c r="C25" s="111"/>
      <c r="D25" s="111"/>
      <c r="E25" s="111"/>
    </row>
    <row r="26" spans="1:5" x14ac:dyDescent="0.15">
      <c r="A26" s="111"/>
      <c r="B26" s="111"/>
      <c r="C26" s="111"/>
      <c r="D26" s="111"/>
      <c r="E26" s="111"/>
    </row>
    <row r="27" spans="1:5" x14ac:dyDescent="0.15">
      <c r="A27" s="111"/>
      <c r="B27" s="111"/>
      <c r="C27" s="111"/>
      <c r="D27" s="111"/>
      <c r="E27" s="111"/>
    </row>
    <row r="28" spans="1:5" x14ac:dyDescent="0.15">
      <c r="A28" s="111"/>
      <c r="B28" s="111"/>
      <c r="C28" s="111"/>
      <c r="D28" s="111"/>
      <c r="E28" s="111"/>
    </row>
    <row r="29" spans="1:5" x14ac:dyDescent="0.15">
      <c r="A29" s="111"/>
      <c r="B29" s="111"/>
      <c r="C29" s="111"/>
      <c r="D29" s="111"/>
      <c r="E29" s="111"/>
    </row>
    <row r="30" spans="1:5" x14ac:dyDescent="0.15">
      <c r="A30" s="111"/>
      <c r="B30" s="111"/>
      <c r="C30" s="111"/>
      <c r="D30" s="111"/>
      <c r="E30" s="111"/>
    </row>
    <row r="31" spans="1:5" x14ac:dyDescent="0.15">
      <c r="A31" s="111"/>
      <c r="B31" s="111"/>
      <c r="C31" s="111"/>
      <c r="D31" s="111"/>
      <c r="E31" s="111"/>
    </row>
    <row r="32" spans="1:5" x14ac:dyDescent="0.15">
      <c r="A32" s="111"/>
      <c r="B32" s="111"/>
      <c r="C32" s="111"/>
      <c r="D32" s="111"/>
      <c r="E32" s="111"/>
    </row>
    <row r="33" spans="1:5" x14ac:dyDescent="0.15">
      <c r="A33" s="111"/>
      <c r="B33" s="111"/>
      <c r="C33" s="111"/>
      <c r="D33" s="111"/>
      <c r="E33" s="111"/>
    </row>
    <row r="34" spans="1:5" x14ac:dyDescent="0.15">
      <c r="A34" s="111"/>
      <c r="B34" s="111"/>
      <c r="C34" s="111"/>
      <c r="D34" s="111"/>
      <c r="E34" s="111"/>
    </row>
    <row r="35" spans="1:5" x14ac:dyDescent="0.15">
      <c r="A35" s="111"/>
      <c r="B35" s="111"/>
      <c r="C35" s="111"/>
      <c r="D35" s="111"/>
      <c r="E35" s="111"/>
    </row>
    <row r="36" spans="1:5" x14ac:dyDescent="0.15">
      <c r="A36" s="111"/>
      <c r="B36" s="111"/>
      <c r="C36" s="111"/>
      <c r="D36" s="111"/>
      <c r="E36" s="111"/>
    </row>
    <row r="37" spans="1:5" x14ac:dyDescent="0.15">
      <c r="A37" s="111"/>
      <c r="B37" s="111"/>
      <c r="C37" s="111"/>
      <c r="D37" s="111"/>
      <c r="E37" s="111"/>
    </row>
    <row r="38" spans="1:5" x14ac:dyDescent="0.15">
      <c r="A38" s="111"/>
      <c r="B38" s="111"/>
      <c r="C38" s="111"/>
      <c r="D38" s="111"/>
      <c r="E38" s="111"/>
    </row>
    <row r="39" spans="1:5" x14ac:dyDescent="0.15">
      <c r="A39" s="111"/>
      <c r="B39" s="111"/>
      <c r="C39" s="111"/>
      <c r="D39" s="111"/>
      <c r="E39" s="111"/>
    </row>
    <row r="40" spans="1:5" x14ac:dyDescent="0.15">
      <c r="A40" s="111"/>
      <c r="B40" s="111"/>
      <c r="C40" s="111"/>
      <c r="D40" s="111"/>
      <c r="E40" s="111"/>
    </row>
    <row r="41" spans="1:5" x14ac:dyDescent="0.15">
      <c r="A41" s="111"/>
      <c r="B41" s="111"/>
      <c r="C41" s="111"/>
      <c r="D41" s="111"/>
      <c r="E41" s="111"/>
    </row>
    <row r="42" spans="1:5" x14ac:dyDescent="0.15">
      <c r="A42" s="111"/>
      <c r="B42" s="111"/>
      <c r="C42" s="111"/>
      <c r="D42" s="111"/>
      <c r="E42" s="111"/>
    </row>
    <row r="43" spans="1:5" x14ac:dyDescent="0.15">
      <c r="A43" s="111"/>
      <c r="B43" s="111"/>
      <c r="C43" s="111"/>
      <c r="D43" s="111"/>
      <c r="E43" s="111"/>
    </row>
    <row r="44" spans="1:5" x14ac:dyDescent="0.15">
      <c r="A44" s="111"/>
      <c r="B44" s="111"/>
      <c r="C44" s="111"/>
      <c r="D44" s="111"/>
      <c r="E44" s="111"/>
    </row>
  </sheetData>
  <sheetProtection algorithmName="SHA-512" hashValue="re7n0veUvZN+cCGf6xvgt8C9h7j9WyozUyOgzJwnPHF5SJ4qEk7F/JqEgJ3v5luI9FW3RBOetqG0XvIeLYWkmw==" saltValue="BKeSznw3625IQ4bzr2lDpQ==" spinCount="100000" sheet="1" objects="1" scenarios="1"/>
  <mergeCells count="3">
    <mergeCell ref="B3:C3"/>
    <mergeCell ref="B5:C5"/>
    <mergeCell ref="B14:C14"/>
  </mergeCells>
  <printOptions horizontalCentered="1"/>
  <pageMargins left="0" right="0" top="0.75" bottom="0.75" header="0.3" footer="0.3"/>
  <pageSetup scale="87"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42AD-DD44-457E-B89E-F05030540719}">
  <sheetPr>
    <pageSetUpPr fitToPage="1"/>
  </sheetPr>
  <dimension ref="A1:G70"/>
  <sheetViews>
    <sheetView topLeftCell="A45" workbookViewId="0">
      <selection activeCell="I64" sqref="I64"/>
    </sheetView>
  </sheetViews>
  <sheetFormatPr baseColWidth="10" defaultColWidth="8.6640625" defaultRowHeight="14" x14ac:dyDescent="0.15"/>
  <cols>
    <col min="1" max="1" width="8.6640625" style="89"/>
    <col min="2" max="2" width="10.6640625" style="89" customWidth="1"/>
    <col min="3" max="3" width="35.1640625" style="89" customWidth="1"/>
    <col min="4" max="5" width="18.6640625" style="90" customWidth="1"/>
    <col min="6" max="6" width="12.1640625" style="89" bestFit="1" customWidth="1"/>
    <col min="7" max="10" width="12.5" style="89" customWidth="1"/>
    <col min="11" max="16384" width="8.6640625" style="89"/>
  </cols>
  <sheetData>
    <row r="1" spans="1:7" customFormat="1" ht="67.25" customHeight="1" x14ac:dyDescent="0.15">
      <c r="A1" s="16"/>
      <c r="B1" s="16"/>
      <c r="C1" s="16"/>
      <c r="D1" s="117"/>
      <c r="E1" s="117"/>
      <c r="F1" s="16"/>
      <c r="G1" s="16"/>
    </row>
    <row r="2" spans="1:7" customFormat="1" ht="15" customHeight="1" x14ac:dyDescent="0.15">
      <c r="A2" s="16"/>
      <c r="B2" s="16"/>
      <c r="C2" s="16"/>
      <c r="D2" s="117"/>
      <c r="E2" s="117"/>
      <c r="F2" s="16"/>
      <c r="G2" s="16"/>
    </row>
    <row r="3" spans="1:7" ht="25.25" customHeight="1" x14ac:dyDescent="0.25">
      <c r="A3" s="118"/>
      <c r="B3" s="118"/>
      <c r="C3" s="196" t="s">
        <v>210</v>
      </c>
      <c r="D3" s="196"/>
      <c r="E3" s="196"/>
      <c r="F3" s="118"/>
      <c r="G3" s="118"/>
    </row>
    <row r="4" spans="1:7" x14ac:dyDescent="0.15">
      <c r="A4" s="118"/>
      <c r="B4" s="118"/>
      <c r="C4" s="118"/>
      <c r="D4" s="119"/>
      <c r="E4" s="119"/>
      <c r="F4" s="118"/>
      <c r="G4" s="118"/>
    </row>
    <row r="5" spans="1:7" ht="18" x14ac:dyDescent="0.2">
      <c r="A5" s="118"/>
      <c r="B5" s="118"/>
      <c r="C5" s="205" t="s">
        <v>211</v>
      </c>
      <c r="D5" s="205"/>
      <c r="E5" s="205"/>
      <c r="F5" s="118"/>
      <c r="G5" s="118"/>
    </row>
    <row r="6" spans="1:7" x14ac:dyDescent="0.15">
      <c r="A6" s="118"/>
      <c r="B6" s="118"/>
      <c r="C6" s="118"/>
      <c r="D6" s="119"/>
      <c r="E6" s="119"/>
      <c r="F6" s="118"/>
      <c r="G6" s="118"/>
    </row>
    <row r="7" spans="1:7" ht="21" customHeight="1" x14ac:dyDescent="0.15">
      <c r="A7" s="118"/>
      <c r="B7" s="118"/>
      <c r="C7" s="206" t="s">
        <v>71</v>
      </c>
      <c r="D7" s="207"/>
      <c r="E7" s="208"/>
      <c r="F7" s="118"/>
      <c r="G7" s="118"/>
    </row>
    <row r="8" spans="1:7" x14ac:dyDescent="0.15">
      <c r="A8" s="118"/>
      <c r="B8" s="118"/>
      <c r="C8" s="160" t="s">
        <v>105</v>
      </c>
      <c r="D8" s="161"/>
      <c r="E8" s="162">
        <v>1000000</v>
      </c>
      <c r="F8" s="118"/>
      <c r="G8" s="118"/>
    </row>
    <row r="9" spans="1:7" x14ac:dyDescent="0.15">
      <c r="A9" s="118"/>
      <c r="B9" s="118"/>
      <c r="C9" s="151" t="s">
        <v>212</v>
      </c>
      <c r="D9" s="120"/>
      <c r="E9" s="152">
        <v>0.23799999999999999</v>
      </c>
      <c r="F9" s="121"/>
      <c r="G9" s="118"/>
    </row>
    <row r="10" spans="1:7" x14ac:dyDescent="0.15">
      <c r="A10" s="118"/>
      <c r="B10" s="118"/>
      <c r="C10" s="151" t="s">
        <v>110</v>
      </c>
      <c r="D10" s="120"/>
      <c r="E10" s="153">
        <f>D24-D19</f>
        <v>6</v>
      </c>
      <c r="F10" s="122"/>
      <c r="G10" s="121"/>
    </row>
    <row r="11" spans="1:7" x14ac:dyDescent="0.15">
      <c r="A11" s="118"/>
      <c r="B11" s="118"/>
      <c r="C11" s="151" t="s">
        <v>113</v>
      </c>
      <c r="D11" s="120"/>
      <c r="E11" s="154">
        <f>IF(E10&gt;=7,0.15,IF(E10&gt;=5,0.1,0))</f>
        <v>0.1</v>
      </c>
      <c r="F11" s="118"/>
      <c r="G11" s="121"/>
    </row>
    <row r="12" spans="1:7" x14ac:dyDescent="0.15">
      <c r="A12" s="118"/>
      <c r="B12" s="118"/>
      <c r="C12" s="151" t="s">
        <v>132</v>
      </c>
      <c r="D12" s="123" t="s">
        <v>138</v>
      </c>
      <c r="E12" s="152">
        <f>+VLOOKUP(D12,'State Capital Gains Tax Rates'!$D$5:$F$54,2,TRUE)</f>
        <v>0.05</v>
      </c>
      <c r="F12" s="118"/>
      <c r="G12" s="118"/>
    </row>
    <row r="13" spans="1:7" s="91" customFormat="1" x14ac:dyDescent="0.15">
      <c r="A13" s="118"/>
      <c r="B13" s="118"/>
      <c r="C13" s="151" t="s">
        <v>188</v>
      </c>
      <c r="D13" s="124"/>
      <c r="E13" s="155" t="str">
        <f>+VLOOKUP(D12,'State Capital Gains Tax Rates'!$D$5:$F$54,3,TRUE)</f>
        <v>Yes</v>
      </c>
      <c r="F13" s="118"/>
      <c r="G13" s="118"/>
    </row>
    <row r="14" spans="1:7" x14ac:dyDescent="0.15">
      <c r="A14" s="118"/>
      <c r="B14" s="118"/>
      <c r="C14" s="151" t="s">
        <v>106</v>
      </c>
      <c r="D14" s="120"/>
      <c r="E14" s="156">
        <v>0.09</v>
      </c>
      <c r="F14" s="118"/>
      <c r="G14" s="118"/>
    </row>
    <row r="15" spans="1:7" ht="14.75" customHeight="1" x14ac:dyDescent="0.15">
      <c r="A15" s="118"/>
      <c r="B15" s="118"/>
      <c r="C15" s="157" t="s">
        <v>109</v>
      </c>
      <c r="D15" s="158"/>
      <c r="E15" s="159">
        <v>0.09</v>
      </c>
      <c r="F15" s="118"/>
      <c r="G15" s="118"/>
    </row>
    <row r="16" spans="1:7" ht="37.25" customHeight="1" x14ac:dyDescent="0.15">
      <c r="A16" s="118"/>
      <c r="B16" s="118"/>
      <c r="C16" s="118"/>
      <c r="D16" s="118"/>
      <c r="E16" s="118"/>
      <c r="F16" s="118"/>
      <c r="G16" s="118"/>
    </row>
    <row r="17" spans="1:7" x14ac:dyDescent="0.15">
      <c r="A17" s="118"/>
      <c r="B17" s="118"/>
      <c r="C17" s="118"/>
      <c r="D17" s="125" t="s">
        <v>122</v>
      </c>
      <c r="E17" s="126" t="s">
        <v>124</v>
      </c>
      <c r="F17" s="118"/>
      <c r="G17" s="118"/>
    </row>
    <row r="18" spans="1:7" ht="24" customHeight="1" x14ac:dyDescent="0.15">
      <c r="A18" s="118"/>
      <c r="B18" s="118"/>
      <c r="C18" s="149"/>
      <c r="D18" s="150" t="s">
        <v>126</v>
      </c>
      <c r="E18" s="150" t="s">
        <v>126</v>
      </c>
      <c r="F18" s="118"/>
      <c r="G18" s="118"/>
    </row>
    <row r="19" spans="1:7" x14ac:dyDescent="0.15">
      <c r="A19" s="118"/>
      <c r="B19" s="118"/>
      <c r="C19" s="115" t="s">
        <v>108</v>
      </c>
      <c r="D19" s="127">
        <v>2020</v>
      </c>
      <c r="E19" s="128">
        <f>D19</f>
        <v>2020</v>
      </c>
      <c r="F19" s="118"/>
      <c r="G19" s="118"/>
    </row>
    <row r="20" spans="1:7" x14ac:dyDescent="0.15">
      <c r="A20" s="118"/>
      <c r="B20" s="118"/>
      <c r="C20" s="129" t="s">
        <v>214</v>
      </c>
      <c r="D20" s="130">
        <f>E8</f>
        <v>1000000</v>
      </c>
      <c r="E20" s="130">
        <f>E8</f>
        <v>1000000</v>
      </c>
      <c r="F20" s="118"/>
      <c r="G20" s="118"/>
    </row>
    <row r="21" spans="1:7" ht="8" customHeight="1" x14ac:dyDescent="0.15">
      <c r="A21" s="118"/>
      <c r="B21" s="118"/>
      <c r="C21" s="129"/>
      <c r="D21" s="130"/>
      <c r="E21" s="130"/>
      <c r="F21" s="118"/>
      <c r="G21" s="118"/>
    </row>
    <row r="22" spans="1:7" x14ac:dyDescent="0.15">
      <c r="A22" s="118"/>
      <c r="B22" s="118"/>
      <c r="C22" s="129" t="s">
        <v>111</v>
      </c>
      <c r="D22" s="133">
        <f>-(D20*(E9+E12))</f>
        <v>-288000</v>
      </c>
      <c r="E22" s="133">
        <f>-IF(E13="YES",0,E20*E12)</f>
        <v>0</v>
      </c>
      <c r="F22" s="193"/>
      <c r="G22" s="118"/>
    </row>
    <row r="23" spans="1:7" x14ac:dyDescent="0.15">
      <c r="A23" s="118"/>
      <c r="B23" s="118"/>
      <c r="C23" s="129"/>
      <c r="D23" s="144"/>
      <c r="E23" s="144"/>
      <c r="F23" s="118"/>
      <c r="G23" s="118"/>
    </row>
    <row r="24" spans="1:7" x14ac:dyDescent="0.15">
      <c r="A24" s="118"/>
      <c r="B24" s="118"/>
      <c r="C24" s="131" t="s">
        <v>112</v>
      </c>
      <c r="D24" s="132">
        <v>2026</v>
      </c>
      <c r="E24" s="132">
        <f>D24</f>
        <v>2026</v>
      </c>
      <c r="F24" s="118"/>
      <c r="G24" s="118"/>
    </row>
    <row r="25" spans="1:7" x14ac:dyDescent="0.15">
      <c r="A25" s="118"/>
      <c r="B25" s="118"/>
      <c r="C25" s="129" t="s">
        <v>202</v>
      </c>
      <c r="D25" s="133">
        <v>0</v>
      </c>
      <c r="E25" s="133">
        <f>IF(E13="Yes",-(E20*(1-E11)*(E9+E12)),-(E20*(1-E11)*(E9)))</f>
        <v>-259199.99999999997</v>
      </c>
      <c r="F25" s="118"/>
      <c r="G25" s="118"/>
    </row>
    <row r="26" spans="1:7" x14ac:dyDescent="0.15">
      <c r="A26" s="118"/>
      <c r="B26" s="118"/>
      <c r="C26" s="129"/>
      <c r="D26" s="144"/>
      <c r="E26" s="144"/>
      <c r="F26" s="118"/>
      <c r="G26" s="118"/>
    </row>
    <row r="27" spans="1:7" x14ac:dyDescent="0.15">
      <c r="A27" s="118"/>
      <c r="B27" s="118"/>
      <c r="C27" s="131" t="s">
        <v>115</v>
      </c>
      <c r="D27" s="128">
        <f>D19+10</f>
        <v>2030</v>
      </c>
      <c r="E27" s="128">
        <f>D27</f>
        <v>2030</v>
      </c>
      <c r="F27" s="118"/>
      <c r="G27" s="118"/>
    </row>
    <row r="28" spans="1:7" x14ac:dyDescent="0.15">
      <c r="A28" s="118"/>
      <c r="B28" s="118"/>
      <c r="C28" s="129" t="s">
        <v>114</v>
      </c>
      <c r="D28" s="144">
        <f>D20*(1+E14)^10</f>
        <v>2367363.6745921187</v>
      </c>
      <c r="E28" s="144">
        <f>E20*(1+E15)^10</f>
        <v>2367363.6745921187</v>
      </c>
      <c r="F28" s="118"/>
      <c r="G28" s="118"/>
    </row>
    <row r="29" spans="1:7" ht="17" x14ac:dyDescent="0.3">
      <c r="A29" s="118"/>
      <c r="B29" s="118"/>
      <c r="C29" s="129" t="s">
        <v>104</v>
      </c>
      <c r="D29" s="145">
        <f>-(D28-D20)*(E9+E12)</f>
        <v>-393800.73828253016</v>
      </c>
      <c r="E29" s="145">
        <f>-IF(E13="YES",0,(E28-E20)*E12)</f>
        <v>0</v>
      </c>
      <c r="F29" s="194"/>
      <c r="G29" s="118"/>
    </row>
    <row r="30" spans="1:7" x14ac:dyDescent="0.15">
      <c r="A30" s="118"/>
      <c r="B30" s="118"/>
      <c r="C30" s="129" t="s">
        <v>116</v>
      </c>
      <c r="D30" s="146">
        <f>D28+D29</f>
        <v>1973562.9363095886</v>
      </c>
      <c r="E30" s="146">
        <f>E28+E29</f>
        <v>2367363.6745921187</v>
      </c>
      <c r="F30" s="118"/>
      <c r="G30" s="118"/>
    </row>
    <row r="31" spans="1:7" ht="38" customHeight="1" x14ac:dyDescent="0.15">
      <c r="A31" s="118"/>
      <c r="B31" s="118"/>
      <c r="C31" s="118"/>
      <c r="D31" s="118"/>
      <c r="E31" s="118"/>
      <c r="F31" s="118"/>
      <c r="G31" s="118"/>
    </row>
    <row r="32" spans="1:7" ht="23" customHeight="1" x14ac:dyDescent="0.15">
      <c r="A32" s="118"/>
      <c r="B32" s="118"/>
      <c r="C32" s="199" t="s">
        <v>133</v>
      </c>
      <c r="D32" s="200"/>
      <c r="E32" s="201"/>
      <c r="F32" s="118"/>
      <c r="G32" s="118"/>
    </row>
    <row r="33" spans="1:7" x14ac:dyDescent="0.15">
      <c r="A33" s="118"/>
      <c r="B33" s="118"/>
      <c r="C33" s="175" t="s">
        <v>117</v>
      </c>
      <c r="D33" s="176">
        <f>D20</f>
        <v>1000000</v>
      </c>
      <c r="E33" s="177">
        <f>E20</f>
        <v>1000000</v>
      </c>
      <c r="F33" s="118"/>
      <c r="G33" s="118"/>
    </row>
    <row r="34" spans="1:7" x14ac:dyDescent="0.15">
      <c r="A34" s="118"/>
      <c r="B34" s="118"/>
      <c r="C34" s="163" t="s">
        <v>118</v>
      </c>
      <c r="D34" s="148">
        <f>D28-D20</f>
        <v>1367363.6745921187</v>
      </c>
      <c r="E34" s="165">
        <f>E28-E33</f>
        <v>1367363.6745921187</v>
      </c>
      <c r="F34" s="118"/>
      <c r="G34" s="118"/>
    </row>
    <row r="35" spans="1:7" ht="17" x14ac:dyDescent="0.3">
      <c r="A35" s="118"/>
      <c r="B35" s="118"/>
      <c r="C35" s="163" t="s">
        <v>119</v>
      </c>
      <c r="D35" s="134">
        <f>D29+D22</f>
        <v>-681800.7382825301</v>
      </c>
      <c r="E35" s="166">
        <f>+E29+E25+E22</f>
        <v>-259199.99999999997</v>
      </c>
      <c r="F35" s="118"/>
      <c r="G35" s="118"/>
    </row>
    <row r="36" spans="1:7" x14ac:dyDescent="0.15">
      <c r="A36" s="118"/>
      <c r="B36" s="118"/>
      <c r="C36" s="163" t="s">
        <v>120</v>
      </c>
      <c r="D36" s="147">
        <f>D33+D34+D35</f>
        <v>1685562.9363095886</v>
      </c>
      <c r="E36" s="164">
        <f>E33+E34+E35</f>
        <v>2108163.6745921187</v>
      </c>
      <c r="F36" s="118"/>
      <c r="G36" s="118"/>
    </row>
    <row r="37" spans="1:7" x14ac:dyDescent="0.15">
      <c r="A37" s="118"/>
      <c r="B37" s="118"/>
      <c r="C37" s="167" t="s">
        <v>127</v>
      </c>
      <c r="D37" s="135"/>
      <c r="E37" s="168">
        <f>E36-D36</f>
        <v>422600.7382825301</v>
      </c>
      <c r="F37" s="129"/>
      <c r="G37" s="118"/>
    </row>
    <row r="38" spans="1:7" x14ac:dyDescent="0.15">
      <c r="A38" s="118"/>
      <c r="B38" s="118"/>
      <c r="C38" s="169" t="s">
        <v>134</v>
      </c>
      <c r="D38" s="136"/>
      <c r="E38" s="170">
        <f>(E36-D36)/D36</f>
        <v>0.25071786355707498</v>
      </c>
      <c r="F38" s="137"/>
      <c r="G38" s="118"/>
    </row>
    <row r="39" spans="1:7" hidden="1" x14ac:dyDescent="0.15">
      <c r="A39" s="118"/>
      <c r="B39" s="118"/>
      <c r="C39" s="163" t="s">
        <v>128</v>
      </c>
      <c r="D39" s="133"/>
      <c r="E39" s="171">
        <f>D55</f>
        <v>4.3598657496332516E-2</v>
      </c>
      <c r="F39" s="137"/>
      <c r="G39" s="118"/>
    </row>
    <row r="40" spans="1:7" hidden="1" x14ac:dyDescent="0.15">
      <c r="A40" s="118"/>
      <c r="B40" s="118"/>
      <c r="C40" s="163" t="s">
        <v>129</v>
      </c>
      <c r="D40" s="133"/>
      <c r="E40" s="171">
        <f>E55</f>
        <v>7.4216735996383676E-2</v>
      </c>
      <c r="F40" s="137"/>
      <c r="G40" s="118"/>
    </row>
    <row r="41" spans="1:7" x14ac:dyDescent="0.15">
      <c r="A41" s="118"/>
      <c r="B41" s="118"/>
      <c r="C41" s="172" t="s">
        <v>130</v>
      </c>
      <c r="D41" s="173"/>
      <c r="E41" s="174">
        <f>E40-E39</f>
        <v>3.061807850005116E-2</v>
      </c>
      <c r="F41" s="137"/>
      <c r="G41" s="118"/>
    </row>
    <row r="42" spans="1:7" ht="34.25" customHeight="1" x14ac:dyDescent="0.15">
      <c r="A42" s="118"/>
      <c r="B42" s="118"/>
      <c r="C42" s="129"/>
      <c r="D42" s="138"/>
      <c r="E42" s="138"/>
      <c r="F42" s="118"/>
      <c r="G42" s="118"/>
    </row>
    <row r="43" spans="1:7" customFormat="1" ht="16.25" customHeight="1" x14ac:dyDescent="0.15">
      <c r="A43" s="16"/>
      <c r="B43" s="209" t="s">
        <v>189</v>
      </c>
      <c r="C43" s="209"/>
      <c r="D43" s="209"/>
      <c r="E43" s="209"/>
      <c r="F43" s="209"/>
      <c r="G43" s="16"/>
    </row>
    <row r="44" spans="1:7" customFormat="1" ht="2" hidden="1" customHeight="1" x14ac:dyDescent="0.15">
      <c r="A44" s="16"/>
      <c r="B44" s="139"/>
      <c r="C44" s="140"/>
      <c r="D44" s="140"/>
      <c r="E44" s="119"/>
      <c r="F44" s="16"/>
      <c r="G44" s="16"/>
    </row>
    <row r="45" spans="1:7" s="93" customFormat="1" ht="72" customHeight="1" x14ac:dyDescent="0.15">
      <c r="A45" s="141"/>
      <c r="B45" s="210" t="s">
        <v>197</v>
      </c>
      <c r="C45" s="210"/>
      <c r="D45" s="210"/>
      <c r="E45" s="210"/>
      <c r="F45" s="210"/>
      <c r="G45" s="141"/>
    </row>
    <row r="46" spans="1:7" s="94" customFormat="1" ht="41.75" customHeight="1" x14ac:dyDescent="0.15">
      <c r="A46" s="142"/>
      <c r="B46" s="211" t="s">
        <v>198</v>
      </c>
      <c r="C46" s="211"/>
      <c r="D46" s="211"/>
      <c r="E46" s="211"/>
      <c r="F46" s="211"/>
      <c r="G46" s="142"/>
    </row>
    <row r="47" spans="1:7" s="94" customFormat="1" ht="36" customHeight="1" x14ac:dyDescent="0.15">
      <c r="A47" s="142"/>
      <c r="B47" s="211" t="s">
        <v>199</v>
      </c>
      <c r="C47" s="211"/>
      <c r="D47" s="211"/>
      <c r="E47" s="211"/>
      <c r="F47" s="211"/>
      <c r="G47" s="142"/>
    </row>
    <row r="48" spans="1:7" s="94" customFormat="1" ht="49.25" customHeight="1" x14ac:dyDescent="0.15">
      <c r="A48" s="142"/>
      <c r="B48" s="211" t="s">
        <v>200</v>
      </c>
      <c r="C48" s="211"/>
      <c r="D48" s="211"/>
      <c r="E48" s="211"/>
      <c r="F48" s="211"/>
      <c r="G48" s="142"/>
    </row>
    <row r="49" spans="1:7" s="94" customFormat="1" ht="13.25" customHeight="1" x14ac:dyDescent="0.15">
      <c r="A49" s="142"/>
      <c r="B49" s="143"/>
      <c r="C49" s="143"/>
      <c r="D49" s="143"/>
      <c r="E49" s="143"/>
      <c r="F49" s="143"/>
      <c r="G49" s="142"/>
    </row>
    <row r="50" spans="1:7" ht="16.25" customHeight="1" x14ac:dyDescent="0.15">
      <c r="B50" s="212" t="s">
        <v>201</v>
      </c>
      <c r="C50" s="212"/>
      <c r="D50" s="212"/>
      <c r="E50" s="212"/>
      <c r="F50" s="212"/>
    </row>
    <row r="51" spans="1:7" x14ac:dyDescent="0.15">
      <c r="B51" s="95"/>
      <c r="C51" s="96"/>
      <c r="D51" s="96"/>
      <c r="E51" s="96"/>
      <c r="F51" s="95"/>
    </row>
    <row r="52" spans="1:7" x14ac:dyDescent="0.15">
      <c r="B52" s="95"/>
      <c r="C52" s="202" t="s">
        <v>121</v>
      </c>
      <c r="D52" s="203"/>
      <c r="E52" s="204"/>
      <c r="F52" s="95"/>
    </row>
    <row r="53" spans="1:7" x14ac:dyDescent="0.15">
      <c r="B53" s="95"/>
      <c r="C53" s="97"/>
      <c r="D53" s="98" t="s">
        <v>122</v>
      </c>
      <c r="E53" s="99" t="s">
        <v>124</v>
      </c>
      <c r="F53" s="95"/>
    </row>
    <row r="54" spans="1:7" x14ac:dyDescent="0.15">
      <c r="B54" s="95"/>
      <c r="C54" s="97"/>
      <c r="D54" s="98" t="s">
        <v>123</v>
      </c>
      <c r="E54" s="99" t="s">
        <v>123</v>
      </c>
      <c r="F54" s="95"/>
    </row>
    <row r="55" spans="1:7" x14ac:dyDescent="0.15">
      <c r="B55" s="95"/>
      <c r="C55" s="100" t="s">
        <v>125</v>
      </c>
      <c r="D55" s="101">
        <f>IF($D$19=2019,IRR(D56:D66),IF($D$19=2020,IRR(D57:D67),IRR(D58:D68)))</f>
        <v>4.3598657496332516E-2</v>
      </c>
      <c r="E55" s="102">
        <f>IF($D$19=2019,IRR(E56:E66),IF($D$19=2020,IRR(E57:E67),IRR(E58:E68)))</f>
        <v>7.4216735996383676E-2</v>
      </c>
      <c r="F55" s="95"/>
    </row>
    <row r="56" spans="1:7" x14ac:dyDescent="0.15">
      <c r="B56" s="95"/>
      <c r="C56" s="100" t="s">
        <v>47</v>
      </c>
      <c r="D56" s="103">
        <f>IF($D$19=2019,-$D$20+D22,0)</f>
        <v>0</v>
      </c>
      <c r="E56" s="104">
        <f>IF($D$19=2019,-$E$20+E22,0)</f>
        <v>0</v>
      </c>
      <c r="F56" s="95"/>
    </row>
    <row r="57" spans="1:7" x14ac:dyDescent="0.15">
      <c r="B57" s="95"/>
      <c r="C57" s="97">
        <v>2020</v>
      </c>
      <c r="D57" s="103">
        <f>IF($D$19=2020,-$D$20+$D$22,0)</f>
        <v>-1288000</v>
      </c>
      <c r="E57" s="104">
        <f>IF($D$19=2020,-$E$20+$E$22,0)</f>
        <v>-1000000</v>
      </c>
      <c r="F57" s="95"/>
    </row>
    <row r="58" spans="1:7" x14ac:dyDescent="0.15">
      <c r="B58" s="95"/>
      <c r="C58" s="97">
        <f>C57+1</f>
        <v>2021</v>
      </c>
      <c r="D58" s="103">
        <f>IF($D$19=2021,-$D$20+$D$22,0)</f>
        <v>0</v>
      </c>
      <c r="E58" s="104">
        <f>IF($D$19=2021,-$E$20+$E$22,0)</f>
        <v>0</v>
      </c>
      <c r="F58" s="95"/>
    </row>
    <row r="59" spans="1:7" x14ac:dyDescent="0.15">
      <c r="B59" s="95"/>
      <c r="C59" s="97">
        <f t="shared" ref="C59:C68" si="0">C58+1</f>
        <v>2022</v>
      </c>
      <c r="D59" s="103">
        <v>0</v>
      </c>
      <c r="E59" s="105">
        <v>0</v>
      </c>
      <c r="F59" s="95"/>
    </row>
    <row r="60" spans="1:7" x14ac:dyDescent="0.15">
      <c r="B60" s="95"/>
      <c r="C60" s="97">
        <f t="shared" si="0"/>
        <v>2023</v>
      </c>
      <c r="D60" s="103">
        <v>0</v>
      </c>
      <c r="E60" s="105">
        <v>0</v>
      </c>
      <c r="F60" s="95"/>
    </row>
    <row r="61" spans="1:7" x14ac:dyDescent="0.15">
      <c r="B61" s="95"/>
      <c r="C61" s="97">
        <f t="shared" si="0"/>
        <v>2024</v>
      </c>
      <c r="D61" s="103">
        <v>0</v>
      </c>
      <c r="E61" s="105">
        <v>0</v>
      </c>
      <c r="F61" s="95"/>
    </row>
    <row r="62" spans="1:7" x14ac:dyDescent="0.15">
      <c r="B62" s="95"/>
      <c r="C62" s="97">
        <f t="shared" si="0"/>
        <v>2025</v>
      </c>
      <c r="D62" s="103">
        <v>0</v>
      </c>
      <c r="E62" s="105">
        <v>0</v>
      </c>
      <c r="F62" s="95"/>
    </row>
    <row r="63" spans="1:7" x14ac:dyDescent="0.15">
      <c r="B63" s="95"/>
      <c r="C63" s="97">
        <f t="shared" si="0"/>
        <v>2026</v>
      </c>
      <c r="D63" s="103">
        <v>0</v>
      </c>
      <c r="E63" s="105">
        <v>0</v>
      </c>
      <c r="F63" s="95"/>
    </row>
    <row r="64" spans="1:7" x14ac:dyDescent="0.15">
      <c r="B64" s="95"/>
      <c r="C64" s="97">
        <f t="shared" si="0"/>
        <v>2027</v>
      </c>
      <c r="D64" s="103">
        <v>0</v>
      </c>
      <c r="E64" s="105">
        <f>+E25</f>
        <v>-259199.99999999997</v>
      </c>
      <c r="F64" s="95"/>
    </row>
    <row r="65" spans="2:6" x14ac:dyDescent="0.15">
      <c r="B65" s="95"/>
      <c r="C65" s="97">
        <f t="shared" si="0"/>
        <v>2028</v>
      </c>
      <c r="D65" s="103">
        <v>0</v>
      </c>
      <c r="E65" s="105">
        <v>0</v>
      </c>
      <c r="F65" s="95"/>
    </row>
    <row r="66" spans="2:6" x14ac:dyDescent="0.15">
      <c r="B66" s="95"/>
      <c r="C66" s="97">
        <f t="shared" si="0"/>
        <v>2029</v>
      </c>
      <c r="D66" s="103">
        <f>IF($D$19=2019,$D$30,0)</f>
        <v>0</v>
      </c>
      <c r="E66" s="105">
        <f>IF($D$19=2019,$E$30,0)</f>
        <v>0</v>
      </c>
      <c r="F66" s="95"/>
    </row>
    <row r="67" spans="2:6" x14ac:dyDescent="0.15">
      <c r="B67" s="95"/>
      <c r="C67" s="97">
        <f t="shared" si="0"/>
        <v>2030</v>
      </c>
      <c r="D67" s="103">
        <f>IF($D$19=2020,$D$30,0)</f>
        <v>1973562.9363095886</v>
      </c>
      <c r="E67" s="105">
        <f>IF($D$19=2020,$E$30,0)</f>
        <v>2367363.6745921187</v>
      </c>
      <c r="F67" s="95"/>
    </row>
    <row r="68" spans="2:6" x14ac:dyDescent="0.15">
      <c r="B68" s="95"/>
      <c r="C68" s="106">
        <f t="shared" si="0"/>
        <v>2031</v>
      </c>
      <c r="D68" s="107">
        <f>IF($D$19=2021,$D$30,0)</f>
        <v>0</v>
      </c>
      <c r="E68" s="108">
        <f>IF($D$19=2021,$E$30,0)</f>
        <v>0</v>
      </c>
      <c r="F68" s="95"/>
    </row>
    <row r="69" spans="2:6" x14ac:dyDescent="0.15">
      <c r="B69" s="95"/>
      <c r="C69" s="95"/>
      <c r="D69" s="109"/>
      <c r="E69" s="109"/>
      <c r="F69" s="95"/>
    </row>
    <row r="70" spans="2:6" x14ac:dyDescent="0.15">
      <c r="B70" s="95"/>
      <c r="C70" s="95"/>
      <c r="D70" s="109"/>
      <c r="E70" s="109"/>
      <c r="F70" s="95"/>
    </row>
  </sheetData>
  <sheetProtection algorithmName="SHA-512" hashValue="SDUwGBSddf/bPTSZ9lNmY++Xblxv17AlN2hdXpYMiBVlQ/BhJsSn76cVW24SZL/Z9Uk/bGtW9JPuNfz55h7tXQ==" saltValue="dwdhfMt6siU/r+vmP+jLlQ==" spinCount="100000" sheet="1" objects="1" scenarios="1"/>
  <protectedRanges>
    <protectedRange sqref="E8 D12 E14:E15 D19" name="Range1"/>
  </protectedRanges>
  <mergeCells count="11">
    <mergeCell ref="C32:E32"/>
    <mergeCell ref="C52:E52"/>
    <mergeCell ref="C3:E3"/>
    <mergeCell ref="C5:E5"/>
    <mergeCell ref="C7:E7"/>
    <mergeCell ref="B43:F43"/>
    <mergeCell ref="B45:F45"/>
    <mergeCell ref="B46:F46"/>
    <mergeCell ref="B47:F47"/>
    <mergeCell ref="B48:F48"/>
    <mergeCell ref="B50:F50"/>
  </mergeCells>
  <dataValidations count="1">
    <dataValidation type="list" allowBlank="1" showInputMessage="1" showErrorMessage="1" sqref="D19" xr:uid="{1AA0BCC3-31A4-4FF3-9E11-B8561E5C473A}">
      <formula1>"2020, 2021"</formula1>
    </dataValidation>
  </dataValidations>
  <printOptions horizontalCentered="1"/>
  <pageMargins left="0" right="0" top="0.25" bottom="0.25" header="0.3" footer="0.3"/>
  <pageSetup scale="78"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84FA52-55C5-4F76-A849-0DED2588F037}">
          <x14:formula1>
            <xm:f>'State Capital Gains Tax Rates'!$D$5:$D$54</xm:f>
          </x14:formula1>
          <xm:sqref>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EE15-064E-4192-9E3A-AA23CC60E931}">
  <dimension ref="A1:I61"/>
  <sheetViews>
    <sheetView topLeftCell="A29" workbookViewId="0">
      <selection sqref="A1:I61"/>
    </sheetView>
  </sheetViews>
  <sheetFormatPr baseColWidth="10" defaultColWidth="8.6640625" defaultRowHeight="14" x14ac:dyDescent="0.15"/>
  <cols>
    <col min="4" max="4" width="19.5" customWidth="1"/>
    <col min="6" max="6" width="11.5" customWidth="1"/>
  </cols>
  <sheetData>
    <row r="1" spans="1:9" ht="67.25" customHeight="1" x14ac:dyDescent="0.15">
      <c r="A1" s="16"/>
      <c r="B1" s="16"/>
      <c r="C1" s="117"/>
      <c r="D1" s="117"/>
      <c r="E1" s="16"/>
      <c r="F1" s="16"/>
      <c r="G1" s="16"/>
      <c r="H1" s="16"/>
      <c r="I1" s="16"/>
    </row>
    <row r="2" spans="1:9" x14ac:dyDescent="0.15">
      <c r="A2" s="16"/>
      <c r="B2" s="16"/>
      <c r="C2" s="16"/>
      <c r="D2" s="16"/>
      <c r="E2" s="16"/>
      <c r="F2" s="16"/>
      <c r="G2" s="16"/>
      <c r="H2" s="16"/>
      <c r="I2" s="16"/>
    </row>
    <row r="3" spans="1:9" x14ac:dyDescent="0.15">
      <c r="A3" s="16"/>
      <c r="B3" s="16"/>
      <c r="C3" s="16"/>
      <c r="D3" s="16"/>
      <c r="E3" s="16"/>
      <c r="F3" s="16"/>
      <c r="G3" s="16"/>
      <c r="H3" s="16"/>
      <c r="I3" s="16"/>
    </row>
    <row r="4" spans="1:9" x14ac:dyDescent="0.15">
      <c r="A4" s="16"/>
      <c r="B4" s="16"/>
      <c r="C4" s="16"/>
      <c r="D4" s="178" t="s">
        <v>135</v>
      </c>
      <c r="E4" s="179" t="s">
        <v>136</v>
      </c>
      <c r="F4" s="180" t="s">
        <v>137</v>
      </c>
      <c r="G4" s="16"/>
      <c r="H4" s="16"/>
      <c r="I4" s="16"/>
    </row>
    <row r="5" spans="1:9" x14ac:dyDescent="0.15">
      <c r="A5" s="16"/>
      <c r="B5" s="16"/>
      <c r="C5" s="16"/>
      <c r="D5" s="183" t="s">
        <v>138</v>
      </c>
      <c r="E5" s="184">
        <v>0.05</v>
      </c>
      <c r="F5" s="185" t="s">
        <v>107</v>
      </c>
      <c r="G5" s="16"/>
      <c r="H5" s="16"/>
      <c r="I5" s="16"/>
    </row>
    <row r="6" spans="1:9" x14ac:dyDescent="0.15">
      <c r="A6" s="16"/>
      <c r="B6" s="16"/>
      <c r="C6" s="16"/>
      <c r="D6" s="186" t="s">
        <v>139</v>
      </c>
      <c r="E6" s="187">
        <v>0</v>
      </c>
      <c r="F6" s="188" t="s">
        <v>107</v>
      </c>
      <c r="G6" s="16"/>
      <c r="H6" s="16"/>
      <c r="I6" s="16"/>
    </row>
    <row r="7" spans="1:9" x14ac:dyDescent="0.15">
      <c r="A7" s="16"/>
      <c r="B7" s="16"/>
      <c r="C7" s="16"/>
      <c r="D7" s="186" t="s">
        <v>140</v>
      </c>
      <c r="E7" s="187">
        <v>4.5400000000000003E-2</v>
      </c>
      <c r="F7" s="188" t="s">
        <v>107</v>
      </c>
      <c r="G7" s="16"/>
      <c r="H7" s="16"/>
      <c r="I7" s="16"/>
    </row>
    <row r="8" spans="1:9" x14ac:dyDescent="0.15">
      <c r="A8" s="16"/>
      <c r="B8" s="16"/>
      <c r="C8" s="16"/>
      <c r="D8" s="186" t="s">
        <v>141</v>
      </c>
      <c r="E8" s="187">
        <v>6.9000000000000006E-2</v>
      </c>
      <c r="F8" s="188" t="s">
        <v>107</v>
      </c>
      <c r="G8" s="16"/>
      <c r="H8" s="16"/>
      <c r="I8" s="16"/>
    </row>
    <row r="9" spans="1:9" x14ac:dyDescent="0.15">
      <c r="A9" s="16"/>
      <c r="B9" s="16"/>
      <c r="C9" s="16"/>
      <c r="D9" s="186" t="s">
        <v>142</v>
      </c>
      <c r="E9" s="187">
        <v>0.123</v>
      </c>
      <c r="F9" s="189" t="s">
        <v>187</v>
      </c>
      <c r="G9" s="16"/>
      <c r="H9" s="16"/>
      <c r="I9" s="16"/>
    </row>
    <row r="10" spans="1:9" x14ac:dyDescent="0.15">
      <c r="A10" s="16"/>
      <c r="B10" s="16"/>
      <c r="C10" s="16"/>
      <c r="D10" s="186" t="s">
        <v>143</v>
      </c>
      <c r="E10" s="187">
        <v>4.6300000000000001E-2</v>
      </c>
      <c r="F10" s="188" t="s">
        <v>107</v>
      </c>
      <c r="G10" s="16"/>
      <c r="H10" s="16"/>
      <c r="I10" s="16"/>
    </row>
    <row r="11" spans="1:9" x14ac:dyDescent="0.15">
      <c r="A11" s="16"/>
      <c r="B11" s="16"/>
      <c r="C11" s="16"/>
      <c r="D11" s="186" t="s">
        <v>144</v>
      </c>
      <c r="E11" s="187">
        <v>6.9900000000000004E-2</v>
      </c>
      <c r="F11" s="188" t="s">
        <v>107</v>
      </c>
      <c r="G11" s="16"/>
      <c r="H11" s="16"/>
      <c r="I11" s="16"/>
    </row>
    <row r="12" spans="1:9" x14ac:dyDescent="0.15">
      <c r="A12" s="16"/>
      <c r="B12" s="16"/>
      <c r="C12" s="16"/>
      <c r="D12" s="186" t="s">
        <v>145</v>
      </c>
      <c r="E12" s="187">
        <v>6.6000000000000003E-2</v>
      </c>
      <c r="F12" s="188" t="s">
        <v>107</v>
      </c>
      <c r="G12" s="16"/>
      <c r="H12" s="16"/>
      <c r="I12" s="16"/>
    </row>
    <row r="13" spans="1:9" x14ac:dyDescent="0.15">
      <c r="A13" s="16"/>
      <c r="B13" s="16"/>
      <c r="C13" s="16"/>
      <c r="D13" s="186" t="s">
        <v>146</v>
      </c>
      <c r="E13" s="187">
        <v>0</v>
      </c>
      <c r="F13" s="188" t="s">
        <v>107</v>
      </c>
      <c r="G13" s="16"/>
      <c r="H13" s="16"/>
      <c r="I13" s="16"/>
    </row>
    <row r="14" spans="1:9" x14ac:dyDescent="0.15">
      <c r="A14" s="16"/>
      <c r="B14" s="16"/>
      <c r="C14" s="16"/>
      <c r="D14" s="186" t="s">
        <v>147</v>
      </c>
      <c r="E14" s="187">
        <v>5.7500000000000002E-2</v>
      </c>
      <c r="F14" s="188" t="s">
        <v>107</v>
      </c>
      <c r="G14" s="16"/>
      <c r="H14" s="16"/>
      <c r="I14" s="16"/>
    </row>
    <row r="15" spans="1:9" x14ac:dyDescent="0.15">
      <c r="A15" s="16"/>
      <c r="B15" s="16"/>
      <c r="C15" s="16"/>
      <c r="D15" s="186" t="s">
        <v>148</v>
      </c>
      <c r="E15" s="187">
        <v>8.2500000000000004E-2</v>
      </c>
      <c r="F15" s="188" t="s">
        <v>107</v>
      </c>
      <c r="G15" s="16"/>
      <c r="H15" s="16"/>
      <c r="I15" s="16"/>
    </row>
    <row r="16" spans="1:9" x14ac:dyDescent="0.15">
      <c r="A16" s="16"/>
      <c r="B16" s="16"/>
      <c r="C16" s="16"/>
      <c r="D16" s="186" t="s">
        <v>149</v>
      </c>
      <c r="E16" s="187">
        <v>6.93E-2</v>
      </c>
      <c r="F16" s="188" t="s">
        <v>107</v>
      </c>
      <c r="G16" s="16"/>
      <c r="H16" s="16"/>
      <c r="I16" s="16"/>
    </row>
    <row r="17" spans="1:9" x14ac:dyDescent="0.15">
      <c r="A17" s="16"/>
      <c r="B17" s="16"/>
      <c r="C17" s="16"/>
      <c r="D17" s="186" t="s">
        <v>150</v>
      </c>
      <c r="E17" s="187">
        <v>4.9500000000000002E-2</v>
      </c>
      <c r="F17" s="188" t="s">
        <v>107</v>
      </c>
      <c r="G17" s="16"/>
      <c r="H17" s="16"/>
      <c r="I17" s="16"/>
    </row>
    <row r="18" spans="1:9" x14ac:dyDescent="0.15">
      <c r="A18" s="16"/>
      <c r="B18" s="16"/>
      <c r="C18" s="16"/>
      <c r="D18" s="186" t="s">
        <v>151</v>
      </c>
      <c r="E18" s="187">
        <v>3.2300000000000002E-2</v>
      </c>
      <c r="F18" s="188" t="s">
        <v>107</v>
      </c>
      <c r="G18" s="16"/>
      <c r="H18" s="16"/>
      <c r="I18" s="16"/>
    </row>
    <row r="19" spans="1:9" x14ac:dyDescent="0.15">
      <c r="A19" s="16"/>
      <c r="B19" s="16"/>
      <c r="C19" s="16"/>
      <c r="D19" s="186" t="s">
        <v>152</v>
      </c>
      <c r="E19" s="187">
        <v>8.5299999999999987E-2</v>
      </c>
      <c r="F19" s="188" t="s">
        <v>107</v>
      </c>
      <c r="G19" s="16"/>
      <c r="H19" s="16"/>
      <c r="I19" s="16"/>
    </row>
    <row r="20" spans="1:9" x14ac:dyDescent="0.15">
      <c r="A20" s="16"/>
      <c r="B20" s="16"/>
      <c r="C20" s="16"/>
      <c r="D20" s="186" t="s">
        <v>153</v>
      </c>
      <c r="E20" s="187">
        <v>5.7000000000000002E-2</v>
      </c>
      <c r="F20" s="188" t="s">
        <v>107</v>
      </c>
      <c r="G20" s="16"/>
      <c r="H20" s="16"/>
      <c r="I20" s="16"/>
    </row>
    <row r="21" spans="1:9" x14ac:dyDescent="0.15">
      <c r="A21" s="16"/>
      <c r="B21" s="16"/>
      <c r="C21" s="16"/>
      <c r="D21" s="186" t="s">
        <v>154</v>
      </c>
      <c r="E21" s="187">
        <v>0.05</v>
      </c>
      <c r="F21" s="188" t="s">
        <v>107</v>
      </c>
      <c r="G21" s="16"/>
      <c r="H21" s="16"/>
      <c r="I21" s="16"/>
    </row>
    <row r="22" spans="1:9" x14ac:dyDescent="0.15">
      <c r="A22" s="16"/>
      <c r="B22" s="16"/>
      <c r="C22" s="16"/>
      <c r="D22" s="186" t="s">
        <v>155</v>
      </c>
      <c r="E22" s="187">
        <v>0.06</v>
      </c>
      <c r="F22" s="188" t="s">
        <v>107</v>
      </c>
      <c r="G22" s="16"/>
      <c r="H22" s="16"/>
      <c r="I22" s="16"/>
    </row>
    <row r="23" spans="1:9" x14ac:dyDescent="0.15">
      <c r="A23" s="16"/>
      <c r="B23" s="16"/>
      <c r="C23" s="16"/>
      <c r="D23" s="186" t="s">
        <v>156</v>
      </c>
      <c r="E23" s="187">
        <v>7.1500000000000008E-2</v>
      </c>
      <c r="F23" s="188" t="s">
        <v>107</v>
      </c>
      <c r="G23" s="16"/>
      <c r="H23" s="16"/>
      <c r="I23" s="16"/>
    </row>
    <row r="24" spans="1:9" x14ac:dyDescent="0.15">
      <c r="A24" s="16"/>
      <c r="B24" s="16"/>
      <c r="C24" s="16"/>
      <c r="D24" s="186" t="s">
        <v>157</v>
      </c>
      <c r="E24" s="187">
        <v>5.7500000000000002E-2</v>
      </c>
      <c r="F24" s="188" t="s">
        <v>107</v>
      </c>
      <c r="G24" s="16"/>
      <c r="H24" s="16"/>
      <c r="I24" s="16"/>
    </row>
    <row r="25" spans="1:9" x14ac:dyDescent="0.15">
      <c r="A25" s="16"/>
      <c r="B25" s="16"/>
      <c r="C25" s="16"/>
      <c r="D25" s="186" t="s">
        <v>158</v>
      </c>
      <c r="E25" s="187">
        <v>5.0999999999999997E-2</v>
      </c>
      <c r="F25" s="189" t="s">
        <v>187</v>
      </c>
      <c r="G25" s="16"/>
      <c r="H25" s="16"/>
      <c r="I25" s="16"/>
    </row>
    <row r="26" spans="1:9" x14ac:dyDescent="0.15">
      <c r="A26" s="16"/>
      <c r="B26" s="16"/>
      <c r="C26" s="16"/>
      <c r="D26" s="186" t="s">
        <v>159</v>
      </c>
      <c r="E26" s="187">
        <v>4.2500000000000003E-2</v>
      </c>
      <c r="F26" s="188" t="s">
        <v>107</v>
      </c>
      <c r="G26" s="16"/>
      <c r="H26" s="16"/>
      <c r="I26" s="16"/>
    </row>
    <row r="27" spans="1:9" x14ac:dyDescent="0.15">
      <c r="A27" s="16"/>
      <c r="B27" s="16"/>
      <c r="C27" s="16"/>
      <c r="D27" s="186" t="s">
        <v>160</v>
      </c>
      <c r="E27" s="187">
        <v>9.849999999999999E-2</v>
      </c>
      <c r="F27" s="188" t="s">
        <v>107</v>
      </c>
      <c r="G27" s="16"/>
      <c r="H27" s="16"/>
      <c r="I27" s="16"/>
    </row>
    <row r="28" spans="1:9" x14ac:dyDescent="0.15">
      <c r="A28" s="16"/>
      <c r="B28" s="16"/>
      <c r="C28" s="16"/>
      <c r="D28" s="186" t="s">
        <v>161</v>
      </c>
      <c r="E28" s="187">
        <v>0.05</v>
      </c>
      <c r="F28" s="189" t="s">
        <v>187</v>
      </c>
      <c r="G28" s="16"/>
      <c r="H28" s="16"/>
      <c r="I28" s="16"/>
    </row>
    <row r="29" spans="1:9" x14ac:dyDescent="0.15">
      <c r="A29" s="16"/>
      <c r="B29" s="16"/>
      <c r="C29" s="16"/>
      <c r="D29" s="186" t="s">
        <v>162</v>
      </c>
      <c r="E29" s="187">
        <v>5.8999999999999997E-2</v>
      </c>
      <c r="F29" s="188" t="s">
        <v>107</v>
      </c>
      <c r="G29" s="16"/>
      <c r="H29" s="16"/>
      <c r="I29" s="16"/>
    </row>
    <row r="30" spans="1:9" x14ac:dyDescent="0.15">
      <c r="A30" s="16"/>
      <c r="B30" s="16"/>
      <c r="C30" s="16"/>
      <c r="D30" s="186" t="s">
        <v>163</v>
      </c>
      <c r="E30" s="187">
        <v>6.9000000000000006E-2</v>
      </c>
      <c r="F30" s="188" t="s">
        <v>107</v>
      </c>
      <c r="G30" s="16"/>
      <c r="H30" s="16"/>
      <c r="I30" s="16"/>
    </row>
    <row r="31" spans="1:9" x14ac:dyDescent="0.15">
      <c r="A31" s="16"/>
      <c r="B31" s="16"/>
      <c r="C31" s="16"/>
      <c r="D31" s="186" t="s">
        <v>164</v>
      </c>
      <c r="E31" s="187">
        <v>6.8400000000000002E-2</v>
      </c>
      <c r="F31" s="188" t="s">
        <v>107</v>
      </c>
      <c r="G31" s="16"/>
      <c r="H31" s="16"/>
      <c r="I31" s="16"/>
    </row>
    <row r="32" spans="1:9" x14ac:dyDescent="0.15">
      <c r="A32" s="16"/>
      <c r="B32" s="16"/>
      <c r="C32" s="16"/>
      <c r="D32" s="186" t="s">
        <v>165</v>
      </c>
      <c r="E32" s="187">
        <v>0</v>
      </c>
      <c r="F32" s="188" t="s">
        <v>107</v>
      </c>
      <c r="G32" s="16"/>
      <c r="H32" s="16"/>
      <c r="I32" s="16"/>
    </row>
    <row r="33" spans="1:9" x14ac:dyDescent="0.15">
      <c r="A33" s="16"/>
      <c r="B33" s="16"/>
      <c r="C33" s="16"/>
      <c r="D33" s="186" t="s">
        <v>166</v>
      </c>
      <c r="E33" s="187">
        <v>0</v>
      </c>
      <c r="F33" s="195" t="s">
        <v>107</v>
      </c>
      <c r="G33" s="16"/>
      <c r="H33" s="16"/>
      <c r="I33" s="16"/>
    </row>
    <row r="34" spans="1:9" x14ac:dyDescent="0.15">
      <c r="A34" s="16"/>
      <c r="B34" s="16"/>
      <c r="C34" s="16"/>
      <c r="D34" s="186" t="s">
        <v>167</v>
      </c>
      <c r="E34" s="187">
        <v>8.9700000000000002E-2</v>
      </c>
      <c r="F34" s="188" t="s">
        <v>107</v>
      </c>
      <c r="G34" s="16"/>
      <c r="H34" s="16"/>
      <c r="I34" s="16"/>
    </row>
    <row r="35" spans="1:9" x14ac:dyDescent="0.15">
      <c r="A35" s="16"/>
      <c r="B35" s="16"/>
      <c r="C35" s="16"/>
      <c r="D35" s="186" t="s">
        <v>168</v>
      </c>
      <c r="E35" s="187">
        <v>4.9000000000000002E-2</v>
      </c>
      <c r="F35" s="188" t="s">
        <v>107</v>
      </c>
      <c r="G35" s="16"/>
      <c r="H35" s="16"/>
      <c r="I35" s="16"/>
    </row>
    <row r="36" spans="1:9" x14ac:dyDescent="0.15">
      <c r="A36" s="16"/>
      <c r="B36" s="16"/>
      <c r="C36" s="16"/>
      <c r="D36" s="186" t="s">
        <v>169</v>
      </c>
      <c r="E36" s="187">
        <v>8.8200000000000001E-2</v>
      </c>
      <c r="F36" s="188" t="s">
        <v>107</v>
      </c>
      <c r="G36" s="16"/>
      <c r="H36" s="16"/>
      <c r="I36" s="16"/>
    </row>
    <row r="37" spans="1:9" x14ac:dyDescent="0.15">
      <c r="A37" s="16"/>
      <c r="B37" s="16"/>
      <c r="C37" s="16"/>
      <c r="D37" s="186" t="s">
        <v>170</v>
      </c>
      <c r="E37" s="187">
        <v>5.2499999999999998E-2</v>
      </c>
      <c r="F37" s="189" t="s">
        <v>187</v>
      </c>
      <c r="G37" s="16"/>
      <c r="H37" s="16"/>
      <c r="I37" s="16"/>
    </row>
    <row r="38" spans="1:9" x14ac:dyDescent="0.15">
      <c r="A38" s="16"/>
      <c r="B38" s="16"/>
      <c r="C38" s="16"/>
      <c r="D38" s="186" t="s">
        <v>171</v>
      </c>
      <c r="E38" s="187">
        <v>2.8999999999999998E-2</v>
      </c>
      <c r="F38" s="188" t="s">
        <v>107</v>
      </c>
      <c r="G38" s="16"/>
      <c r="H38" s="16"/>
      <c r="I38" s="16"/>
    </row>
    <row r="39" spans="1:9" x14ac:dyDescent="0.15">
      <c r="A39" s="16"/>
      <c r="B39" s="16"/>
      <c r="C39" s="16"/>
      <c r="D39" s="186" t="s">
        <v>172</v>
      </c>
      <c r="E39" s="187">
        <v>4.9970000000000001E-2</v>
      </c>
      <c r="F39" s="188" t="s">
        <v>107</v>
      </c>
      <c r="G39" s="16"/>
      <c r="H39" s="16"/>
      <c r="I39" s="16"/>
    </row>
    <row r="40" spans="1:9" x14ac:dyDescent="0.15">
      <c r="A40" s="16"/>
      <c r="B40" s="16"/>
      <c r="C40" s="16"/>
      <c r="D40" s="186" t="s">
        <v>173</v>
      </c>
      <c r="E40" s="187">
        <v>0.05</v>
      </c>
      <c r="F40" s="188" t="s">
        <v>107</v>
      </c>
      <c r="G40" s="16"/>
      <c r="H40" s="16"/>
      <c r="I40" s="16"/>
    </row>
    <row r="41" spans="1:9" x14ac:dyDescent="0.15">
      <c r="A41" s="16"/>
      <c r="B41" s="16"/>
      <c r="C41" s="16"/>
      <c r="D41" s="186" t="s">
        <v>174</v>
      </c>
      <c r="E41" s="187">
        <v>9.9000000000000005E-2</v>
      </c>
      <c r="F41" s="188" t="s">
        <v>107</v>
      </c>
      <c r="G41" s="16"/>
      <c r="H41" s="16"/>
      <c r="I41" s="16"/>
    </row>
    <row r="42" spans="1:9" x14ac:dyDescent="0.15">
      <c r="A42" s="16"/>
      <c r="B42" s="16"/>
      <c r="C42" s="16"/>
      <c r="D42" s="186" t="s">
        <v>175</v>
      </c>
      <c r="E42" s="187">
        <v>3.0699999999999998E-2</v>
      </c>
      <c r="F42" s="195" t="s">
        <v>107</v>
      </c>
      <c r="G42" s="16"/>
      <c r="H42" s="16"/>
      <c r="I42" s="16"/>
    </row>
    <row r="43" spans="1:9" x14ac:dyDescent="0.15">
      <c r="A43" s="16"/>
      <c r="B43" s="16"/>
      <c r="C43" s="16"/>
      <c r="D43" s="186" t="s">
        <v>176</v>
      </c>
      <c r="E43" s="187">
        <v>5.9900000000000002E-2</v>
      </c>
      <c r="F43" s="188" t="s">
        <v>107</v>
      </c>
      <c r="G43" s="16"/>
      <c r="H43" s="16"/>
      <c r="I43" s="16"/>
    </row>
    <row r="44" spans="1:9" x14ac:dyDescent="0.15">
      <c r="A44" s="16"/>
      <c r="B44" s="16"/>
      <c r="C44" s="16"/>
      <c r="D44" s="186" t="s">
        <v>177</v>
      </c>
      <c r="E44" s="187">
        <v>7.0000000000000007E-2</v>
      </c>
      <c r="F44" s="188" t="s">
        <v>107</v>
      </c>
      <c r="G44" s="16"/>
      <c r="H44" s="16"/>
      <c r="I44" s="16"/>
    </row>
    <row r="45" spans="1:9" x14ac:dyDescent="0.15">
      <c r="A45" s="16"/>
      <c r="B45" s="16"/>
      <c r="C45" s="16"/>
      <c r="D45" s="186" t="s">
        <v>178</v>
      </c>
      <c r="E45" s="187">
        <v>0</v>
      </c>
      <c r="F45" s="188" t="s">
        <v>107</v>
      </c>
      <c r="G45" s="16"/>
      <c r="H45" s="16"/>
      <c r="I45" s="16"/>
    </row>
    <row r="46" spans="1:9" x14ac:dyDescent="0.15">
      <c r="A46" s="16"/>
      <c r="B46" s="16"/>
      <c r="C46" s="16"/>
      <c r="D46" s="186" t="s">
        <v>179</v>
      </c>
      <c r="E46" s="187">
        <v>0</v>
      </c>
      <c r="F46" s="188" t="s">
        <v>107</v>
      </c>
      <c r="G46" s="16"/>
      <c r="H46" s="16"/>
      <c r="I46" s="16"/>
    </row>
    <row r="47" spans="1:9" x14ac:dyDescent="0.15">
      <c r="A47" s="16"/>
      <c r="B47" s="16"/>
      <c r="C47" s="16"/>
      <c r="D47" s="186" t="s">
        <v>131</v>
      </c>
      <c r="E47" s="187">
        <v>0</v>
      </c>
      <c r="F47" s="188" t="s">
        <v>107</v>
      </c>
      <c r="G47" s="16"/>
      <c r="H47" s="16"/>
      <c r="I47" s="16"/>
    </row>
    <row r="48" spans="1:9" x14ac:dyDescent="0.15">
      <c r="A48" s="16"/>
      <c r="B48" s="16"/>
      <c r="C48" s="16"/>
      <c r="D48" s="186" t="s">
        <v>180</v>
      </c>
      <c r="E48" s="187">
        <v>0.05</v>
      </c>
      <c r="F48" s="188" t="s">
        <v>107</v>
      </c>
      <c r="G48" s="16"/>
      <c r="H48" s="16"/>
      <c r="I48" s="16"/>
    </row>
    <row r="49" spans="1:9" x14ac:dyDescent="0.15">
      <c r="A49" s="16"/>
      <c r="B49" s="16"/>
      <c r="C49" s="16"/>
      <c r="D49" s="186" t="s">
        <v>181</v>
      </c>
      <c r="E49" s="187">
        <v>8.7499999999999994E-2</v>
      </c>
      <c r="F49" s="188" t="s">
        <v>107</v>
      </c>
      <c r="G49" s="16"/>
      <c r="H49" s="16"/>
      <c r="I49" s="16"/>
    </row>
    <row r="50" spans="1:9" x14ac:dyDescent="0.15">
      <c r="A50" s="16"/>
      <c r="B50" s="16"/>
      <c r="C50" s="16"/>
      <c r="D50" s="186" t="s">
        <v>182</v>
      </c>
      <c r="E50" s="187">
        <v>5.7500000000000002E-2</v>
      </c>
      <c r="F50" s="188" t="s">
        <v>107</v>
      </c>
      <c r="G50" s="16"/>
      <c r="H50" s="16"/>
      <c r="I50" s="16"/>
    </row>
    <row r="51" spans="1:9" x14ac:dyDescent="0.15">
      <c r="A51" s="16"/>
      <c r="B51" s="16"/>
      <c r="C51" s="16"/>
      <c r="D51" s="186" t="s">
        <v>183</v>
      </c>
      <c r="E51" s="187">
        <v>0</v>
      </c>
      <c r="F51" s="188" t="s">
        <v>107</v>
      </c>
      <c r="G51" s="16"/>
      <c r="H51" s="16"/>
      <c r="I51" s="16"/>
    </row>
    <row r="52" spans="1:9" x14ac:dyDescent="0.15">
      <c r="A52" s="16"/>
      <c r="B52" s="16"/>
      <c r="C52" s="16"/>
      <c r="D52" s="186" t="s">
        <v>184</v>
      </c>
      <c r="E52" s="187">
        <v>6.5000000000000002E-2</v>
      </c>
      <c r="F52" s="188" t="s">
        <v>107</v>
      </c>
      <c r="G52" s="16"/>
      <c r="H52" s="16"/>
      <c r="I52" s="16"/>
    </row>
    <row r="53" spans="1:9" x14ac:dyDescent="0.15">
      <c r="A53" s="16"/>
      <c r="B53" s="16"/>
      <c r="C53" s="16"/>
      <c r="D53" s="186" t="s">
        <v>185</v>
      </c>
      <c r="E53" s="187">
        <v>7.6499999999999999E-2</v>
      </c>
      <c r="F53" s="188" t="s">
        <v>107</v>
      </c>
      <c r="G53" s="16"/>
      <c r="H53" s="16"/>
      <c r="I53" s="16"/>
    </row>
    <row r="54" spans="1:9" x14ac:dyDescent="0.15">
      <c r="A54" s="16"/>
      <c r="B54" s="16"/>
      <c r="C54" s="16"/>
      <c r="D54" s="190" t="s">
        <v>186</v>
      </c>
      <c r="E54" s="191">
        <v>0</v>
      </c>
      <c r="F54" s="192" t="s">
        <v>107</v>
      </c>
      <c r="G54" s="16"/>
      <c r="H54" s="16"/>
      <c r="I54" s="16"/>
    </row>
    <row r="55" spans="1:9" x14ac:dyDescent="0.15">
      <c r="A55" s="16"/>
      <c r="B55" s="16"/>
      <c r="C55" s="16"/>
      <c r="D55" s="16"/>
      <c r="E55" s="16"/>
      <c r="F55" s="16"/>
      <c r="G55" s="16"/>
      <c r="H55" s="16"/>
      <c r="I55" s="16"/>
    </row>
    <row r="56" spans="1:9" x14ac:dyDescent="0.15">
      <c r="A56" s="16"/>
      <c r="B56" s="16"/>
      <c r="C56" s="16"/>
      <c r="D56" s="16"/>
      <c r="E56" s="16"/>
      <c r="F56" s="16"/>
      <c r="G56" s="16"/>
      <c r="H56" s="16"/>
      <c r="I56" s="16"/>
    </row>
    <row r="57" spans="1:9" x14ac:dyDescent="0.15">
      <c r="A57" s="16"/>
      <c r="B57" s="16"/>
      <c r="C57" s="16"/>
      <c r="D57" s="16"/>
      <c r="E57" s="16"/>
      <c r="F57" s="16"/>
      <c r="G57" s="16"/>
      <c r="H57" s="16"/>
      <c r="I57" s="16"/>
    </row>
    <row r="58" spans="1:9" x14ac:dyDescent="0.15">
      <c r="A58" s="16"/>
      <c r="B58" s="16"/>
      <c r="C58" s="16"/>
      <c r="D58" s="16"/>
      <c r="E58" s="16"/>
      <c r="F58" s="16"/>
      <c r="G58" s="16"/>
      <c r="H58" s="16"/>
      <c r="I58" s="16"/>
    </row>
    <row r="59" spans="1:9" x14ac:dyDescent="0.15">
      <c r="A59" s="16"/>
      <c r="B59" s="16"/>
      <c r="C59" s="16"/>
      <c r="D59" s="16"/>
      <c r="E59" s="16"/>
      <c r="F59" s="16"/>
      <c r="G59" s="16"/>
      <c r="H59" s="16"/>
      <c r="I59" s="16"/>
    </row>
    <row r="60" spans="1:9" x14ac:dyDescent="0.15">
      <c r="A60" s="16"/>
      <c r="B60" s="16"/>
      <c r="C60" s="16"/>
      <c r="D60" s="16"/>
      <c r="E60" s="16"/>
      <c r="F60" s="16"/>
      <c r="G60" s="16"/>
      <c r="H60" s="16"/>
      <c r="I60" s="16"/>
    </row>
    <row r="61" spans="1:9" x14ac:dyDescent="0.15">
      <c r="A61" s="16"/>
      <c r="B61" s="16"/>
      <c r="C61" s="16"/>
      <c r="D61" s="16"/>
      <c r="E61" s="16"/>
      <c r="F61" s="16"/>
      <c r="G61" s="16"/>
      <c r="H61" s="16"/>
      <c r="I61" s="16"/>
    </row>
  </sheetData>
  <sheetProtection algorithmName="SHA-512" hashValue="qE46+jOaqO5hUWQ9XnGDc8+DD8fXtXWLQoHq4OHQGDt+03XL1ohQiOlveem//O52iEdjlDOvpyjOPXqfRSL2sg==" saltValue="BoKutacmq4zButxc91yaZg=="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317C-B213-4919-8500-2C3C9354884F}">
  <sheetPr>
    <pageSetUpPr fitToPage="1"/>
  </sheetPr>
  <dimension ref="A1:M57"/>
  <sheetViews>
    <sheetView zoomScale="80" zoomScaleNormal="80" workbookViewId="0">
      <selection activeCell="B52" sqref="B52"/>
    </sheetView>
  </sheetViews>
  <sheetFormatPr baseColWidth="10" defaultColWidth="8.6640625" defaultRowHeight="14" x14ac:dyDescent="0.15"/>
  <cols>
    <col min="1" max="1" width="32.5" style="40" customWidth="1"/>
    <col min="2" max="9" width="12.6640625" style="40" customWidth="1"/>
    <col min="10" max="12" width="13.6640625" style="40" customWidth="1"/>
    <col min="13" max="32" width="12.6640625" style="40" customWidth="1"/>
    <col min="33" max="16384" width="8.6640625" style="40"/>
  </cols>
  <sheetData>
    <row r="1" spans="1:13" ht="23" x14ac:dyDescent="0.25">
      <c r="A1" s="216" t="s">
        <v>29</v>
      </c>
      <c r="B1" s="216"/>
      <c r="C1" s="216"/>
      <c r="D1" s="216"/>
      <c r="E1" s="216"/>
      <c r="F1" s="216"/>
      <c r="G1" s="216"/>
      <c r="H1" s="216"/>
      <c r="I1" s="216"/>
      <c r="J1" s="216"/>
      <c r="K1" s="216"/>
      <c r="L1" s="216"/>
    </row>
    <row r="3" spans="1:13" ht="18" x14ac:dyDescent="0.2">
      <c r="A3" s="217" t="s">
        <v>60</v>
      </c>
      <c r="B3" s="217"/>
      <c r="C3" s="217"/>
      <c r="D3" s="217"/>
      <c r="E3" s="217"/>
      <c r="F3" s="217"/>
      <c r="G3" s="217"/>
      <c r="H3" s="217"/>
      <c r="I3" s="217"/>
      <c r="J3" s="217"/>
      <c r="K3" s="217"/>
      <c r="L3" s="217"/>
    </row>
    <row r="5" spans="1:13" x14ac:dyDescent="0.15">
      <c r="A5" s="48" t="s">
        <v>71</v>
      </c>
      <c r="D5" s="51"/>
      <c r="E5" s="62"/>
      <c r="F5" s="63" t="s">
        <v>72</v>
      </c>
      <c r="G5" s="63" t="s">
        <v>74</v>
      </c>
      <c r="H5" s="64" t="s">
        <v>79</v>
      </c>
      <c r="J5" s="220" t="s">
        <v>80</v>
      </c>
      <c r="K5" s="221"/>
      <c r="L5" s="222"/>
    </row>
    <row r="6" spans="1:13" ht="17" x14ac:dyDescent="0.3">
      <c r="A6" s="40" t="s">
        <v>30</v>
      </c>
      <c r="B6" s="70">
        <v>1000000</v>
      </c>
      <c r="D6" s="52"/>
      <c r="E6" s="59"/>
      <c r="F6" s="65" t="s">
        <v>73</v>
      </c>
      <c r="G6" s="65" t="s">
        <v>73</v>
      </c>
      <c r="H6" s="66" t="s">
        <v>73</v>
      </c>
      <c r="J6" s="218" t="s">
        <v>83</v>
      </c>
      <c r="K6" s="219"/>
      <c r="L6" s="66" t="s">
        <v>96</v>
      </c>
    </row>
    <row r="7" spans="1:13" x14ac:dyDescent="0.15">
      <c r="A7" s="40" t="s">
        <v>31</v>
      </c>
      <c r="B7" s="43">
        <v>0.37</v>
      </c>
      <c r="D7" s="52" t="s">
        <v>76</v>
      </c>
      <c r="E7" s="59"/>
      <c r="F7" s="67">
        <f>B26</f>
        <v>6.4483542668234639E-2</v>
      </c>
      <c r="G7" s="67">
        <f>B39</f>
        <v>9.0025487173740704E-2</v>
      </c>
      <c r="H7" s="68">
        <f>G7-F7</f>
        <v>2.5541944505506065E-2</v>
      </c>
      <c r="J7" s="52" t="s">
        <v>81</v>
      </c>
      <c r="K7" s="59"/>
      <c r="L7" s="75">
        <f>+B50</f>
        <v>90907.87113323329</v>
      </c>
    </row>
    <row r="8" spans="1:13" x14ac:dyDescent="0.15">
      <c r="A8" s="40" t="s">
        <v>32</v>
      </c>
      <c r="B8" s="43">
        <v>0.2</v>
      </c>
      <c r="D8" s="52" t="s">
        <v>69</v>
      </c>
      <c r="E8" s="59"/>
      <c r="F8" s="67">
        <f>B27</f>
        <v>5.1345745899094242E-2</v>
      </c>
      <c r="G8" s="67">
        <f>B40</f>
        <v>7.4839506142339252E-2</v>
      </c>
      <c r="H8" s="68">
        <f>G8-F8</f>
        <v>2.349376024324501E-2</v>
      </c>
      <c r="J8" s="52" t="s">
        <v>82</v>
      </c>
      <c r="K8" s="59"/>
      <c r="L8" s="53">
        <f>+B52</f>
        <v>23682.277029418066</v>
      </c>
    </row>
    <row r="9" spans="1:13" x14ac:dyDescent="0.15">
      <c r="A9" s="40" t="s">
        <v>53</v>
      </c>
      <c r="B9" s="43">
        <v>0.5</v>
      </c>
      <c r="D9" s="52" t="s">
        <v>70</v>
      </c>
      <c r="E9" s="59"/>
      <c r="F9" s="59">
        <f>B28</f>
        <v>1612240</v>
      </c>
      <c r="G9" s="59">
        <f>B41</f>
        <v>2013550</v>
      </c>
      <c r="H9" s="53">
        <f>G9-F9</f>
        <v>401310</v>
      </c>
      <c r="J9" s="52" t="s">
        <v>84</v>
      </c>
      <c r="K9" s="59"/>
      <c r="L9" s="53"/>
    </row>
    <row r="10" spans="1:13" ht="17" x14ac:dyDescent="0.3">
      <c r="A10" s="40" t="s">
        <v>61</v>
      </c>
      <c r="B10" s="43">
        <v>0.15</v>
      </c>
      <c r="D10" s="54" t="s">
        <v>75</v>
      </c>
      <c r="E10" s="69"/>
      <c r="F10" s="69"/>
      <c r="G10" s="69"/>
      <c r="H10" s="55">
        <f>H9/F9</f>
        <v>0.24891455366446683</v>
      </c>
      <c r="J10" s="52" t="s">
        <v>85</v>
      </c>
      <c r="K10" s="59"/>
      <c r="L10" s="82">
        <f>+B54</f>
        <v>125193.80118137397</v>
      </c>
    </row>
    <row r="11" spans="1:13" x14ac:dyDescent="0.15">
      <c r="A11" s="40" t="s">
        <v>33</v>
      </c>
      <c r="B11" s="43">
        <v>7.0000000000000007E-2</v>
      </c>
      <c r="J11" s="83" t="s">
        <v>99</v>
      </c>
      <c r="K11" s="84"/>
      <c r="L11" s="85">
        <f>+SUM(L7:L10)</f>
        <v>239783.94934402534</v>
      </c>
    </row>
    <row r="12" spans="1:13" x14ac:dyDescent="0.15">
      <c r="A12" s="40" t="s">
        <v>34</v>
      </c>
      <c r="B12" s="43">
        <v>0.09</v>
      </c>
      <c r="J12" s="52" t="s">
        <v>97</v>
      </c>
      <c r="K12" s="59"/>
      <c r="L12" s="68">
        <f>+B56</f>
        <v>0.23978394934402533</v>
      </c>
    </row>
    <row r="13" spans="1:13" x14ac:dyDescent="0.15">
      <c r="B13" s="43"/>
      <c r="J13" s="72" t="s">
        <v>98</v>
      </c>
      <c r="K13" s="73"/>
      <c r="L13" s="86">
        <f>+B57</f>
        <v>0.29972993668003167</v>
      </c>
    </row>
    <row r="15" spans="1:13" x14ac:dyDescent="0.15">
      <c r="B15" s="46">
        <v>2019</v>
      </c>
      <c r="C15" s="46">
        <f>B15+1</f>
        <v>2020</v>
      </c>
      <c r="D15" s="46">
        <f t="shared" ref="D15:L15" si="0">C15+1</f>
        <v>2021</v>
      </c>
      <c r="E15" s="46">
        <f t="shared" si="0"/>
        <v>2022</v>
      </c>
      <c r="F15" s="46">
        <f t="shared" si="0"/>
        <v>2023</v>
      </c>
      <c r="G15" s="46">
        <f t="shared" si="0"/>
        <v>2024</v>
      </c>
      <c r="H15" s="46">
        <f>G15+1</f>
        <v>2025</v>
      </c>
      <c r="I15" s="46">
        <f t="shared" si="0"/>
        <v>2026</v>
      </c>
      <c r="J15" s="46">
        <f t="shared" si="0"/>
        <v>2027</v>
      </c>
      <c r="K15" s="46">
        <f t="shared" si="0"/>
        <v>2028</v>
      </c>
      <c r="L15" s="46">
        <f t="shared" si="0"/>
        <v>2029</v>
      </c>
    </row>
    <row r="16" spans="1:13" ht="17" x14ac:dyDescent="0.3">
      <c r="B16" s="45" t="s">
        <v>36</v>
      </c>
      <c r="C16" s="45" t="s">
        <v>35</v>
      </c>
      <c r="D16" s="45" t="s">
        <v>37</v>
      </c>
      <c r="E16" s="45" t="s">
        <v>38</v>
      </c>
      <c r="F16" s="45" t="s">
        <v>39</v>
      </c>
      <c r="G16" s="45" t="s">
        <v>40</v>
      </c>
      <c r="H16" s="45" t="s">
        <v>41</v>
      </c>
      <c r="I16" s="45" t="s">
        <v>42</v>
      </c>
      <c r="J16" s="45" t="s">
        <v>43</v>
      </c>
      <c r="K16" s="45" t="s">
        <v>44</v>
      </c>
      <c r="L16" s="45" t="s">
        <v>45</v>
      </c>
      <c r="M16" s="45"/>
    </row>
    <row r="17" spans="1:13" ht="17" x14ac:dyDescent="0.3">
      <c r="A17" s="49" t="s">
        <v>59</v>
      </c>
      <c r="C17" s="214" t="s">
        <v>46</v>
      </c>
      <c r="D17" s="214"/>
      <c r="E17" s="215" t="s">
        <v>50</v>
      </c>
      <c r="F17" s="215"/>
      <c r="G17" s="215" t="s">
        <v>51</v>
      </c>
      <c r="H17" s="215"/>
      <c r="I17" s="215"/>
      <c r="J17" s="215"/>
      <c r="K17" s="215"/>
      <c r="L17" s="215"/>
    </row>
    <row r="18" spans="1:13" x14ac:dyDescent="0.15">
      <c r="A18" s="40" t="s">
        <v>47</v>
      </c>
      <c r="B18" s="40">
        <f>B6</f>
        <v>1000000</v>
      </c>
    </row>
    <row r="19" spans="1:13" ht="17" x14ac:dyDescent="0.3">
      <c r="A19" s="40" t="s">
        <v>48</v>
      </c>
      <c r="B19" s="47">
        <f>B18*-B8</f>
        <v>-200000</v>
      </c>
    </row>
    <row r="20" spans="1:13" x14ac:dyDescent="0.15">
      <c r="A20" s="40" t="s">
        <v>49</v>
      </c>
      <c r="B20" s="40">
        <f>B18+B19</f>
        <v>800000</v>
      </c>
    </row>
    <row r="21" spans="1:13" x14ac:dyDescent="0.15">
      <c r="A21" s="40" t="s">
        <v>57</v>
      </c>
      <c r="B21" s="40">
        <f>-B18</f>
        <v>-1000000</v>
      </c>
      <c r="C21" s="40">
        <v>0</v>
      </c>
      <c r="D21" s="40">
        <v>0</v>
      </c>
      <c r="E21" s="40">
        <v>0</v>
      </c>
      <c r="F21" s="40">
        <v>0</v>
      </c>
      <c r="G21" s="40">
        <f>$B$20*$B$11</f>
        <v>56000.000000000007</v>
      </c>
      <c r="H21" s="40">
        <f>$B$20*$B$11</f>
        <v>56000.000000000007</v>
      </c>
      <c r="I21" s="40">
        <f>$B$20*$B$11</f>
        <v>56000.000000000007</v>
      </c>
      <c r="J21" s="40">
        <f>$B$20*$B$11</f>
        <v>56000.000000000007</v>
      </c>
      <c r="K21" s="40">
        <f>$B$20*$B$11</f>
        <v>56000.000000000007</v>
      </c>
      <c r="L21" s="40">
        <f>$B$20*$B$11+L22</f>
        <v>1529000</v>
      </c>
    </row>
    <row r="22" spans="1:13" x14ac:dyDescent="0.15">
      <c r="A22" s="40" t="s">
        <v>52</v>
      </c>
      <c r="C22" s="40">
        <v>0</v>
      </c>
      <c r="D22" s="40">
        <v>0</v>
      </c>
      <c r="E22" s="40">
        <v>0</v>
      </c>
      <c r="F22" s="40">
        <v>0</v>
      </c>
      <c r="G22" s="40">
        <v>0</v>
      </c>
      <c r="H22" s="40">
        <v>0</v>
      </c>
      <c r="I22" s="40">
        <v>0</v>
      </c>
      <c r="J22" s="40">
        <v>0</v>
      </c>
      <c r="K22" s="40">
        <v>0</v>
      </c>
      <c r="L22" s="71">
        <f>L35/B33*B20</f>
        <v>1473000</v>
      </c>
      <c r="M22" s="87"/>
    </row>
    <row r="23" spans="1:13" x14ac:dyDescent="0.15">
      <c r="A23" s="40" t="s">
        <v>48</v>
      </c>
      <c r="C23" s="40">
        <v>0</v>
      </c>
      <c r="D23" s="40">
        <v>0</v>
      </c>
      <c r="E23" s="40">
        <v>0</v>
      </c>
      <c r="F23" s="40">
        <v>0</v>
      </c>
      <c r="G23" s="40">
        <v>0</v>
      </c>
      <c r="H23" s="40">
        <v>0</v>
      </c>
      <c r="I23" s="40">
        <v>0</v>
      </c>
      <c r="J23" s="40">
        <v>0</v>
      </c>
      <c r="K23" s="40">
        <v>0</v>
      </c>
      <c r="L23" s="40">
        <f>(L22-B20)*-B8</f>
        <v>-134600</v>
      </c>
    </row>
    <row r="24" spans="1:13" ht="17" x14ac:dyDescent="0.3">
      <c r="A24" s="40" t="s">
        <v>56</v>
      </c>
      <c r="C24" s="47">
        <f>C21*(1-$B$9)*-$B$7</f>
        <v>0</v>
      </c>
      <c r="D24" s="47">
        <f t="shared" ref="D24:K24" si="1">D21*(1-$B$9)*-$B$7</f>
        <v>0</v>
      </c>
      <c r="E24" s="47">
        <f t="shared" si="1"/>
        <v>0</v>
      </c>
      <c r="F24" s="47">
        <f t="shared" si="1"/>
        <v>0</v>
      </c>
      <c r="G24" s="47">
        <f t="shared" si="1"/>
        <v>-10360.000000000002</v>
      </c>
      <c r="H24" s="47">
        <f t="shared" si="1"/>
        <v>-10360.000000000002</v>
      </c>
      <c r="I24" s="47">
        <f t="shared" si="1"/>
        <v>-10360.000000000002</v>
      </c>
      <c r="J24" s="47">
        <f t="shared" si="1"/>
        <v>-10360.000000000002</v>
      </c>
      <c r="K24" s="47">
        <f t="shared" si="1"/>
        <v>-10360.000000000002</v>
      </c>
      <c r="L24" s="47">
        <f>K24</f>
        <v>-10360.000000000002</v>
      </c>
    </row>
    <row r="25" spans="1:13" x14ac:dyDescent="0.15">
      <c r="A25" s="40" t="s">
        <v>58</v>
      </c>
      <c r="B25" s="40">
        <f>B21</f>
        <v>-1000000</v>
      </c>
      <c r="C25" s="40">
        <f>C21+C24</f>
        <v>0</v>
      </c>
      <c r="D25" s="40">
        <f t="shared" ref="D25:K25" si="2">D21+D24</f>
        <v>0</v>
      </c>
      <c r="E25" s="40">
        <f t="shared" si="2"/>
        <v>0</v>
      </c>
      <c r="F25" s="40">
        <f t="shared" si="2"/>
        <v>0</v>
      </c>
      <c r="G25" s="40">
        <f t="shared" si="2"/>
        <v>45640.000000000007</v>
      </c>
      <c r="H25" s="40">
        <f t="shared" si="2"/>
        <v>45640.000000000007</v>
      </c>
      <c r="I25" s="40">
        <f t="shared" si="2"/>
        <v>45640.000000000007</v>
      </c>
      <c r="J25" s="40">
        <f t="shared" si="2"/>
        <v>45640.000000000007</v>
      </c>
      <c r="K25" s="40">
        <f t="shared" si="2"/>
        <v>45640.000000000007</v>
      </c>
      <c r="L25" s="40">
        <f>L21+L23+L24</f>
        <v>1384040</v>
      </c>
    </row>
    <row r="26" spans="1:13" x14ac:dyDescent="0.15">
      <c r="A26" s="40" t="s">
        <v>54</v>
      </c>
      <c r="B26" s="41">
        <f>IRR(B21:L21,0.05)</f>
        <v>6.4483542668234639E-2</v>
      </c>
    </row>
    <row r="27" spans="1:13" x14ac:dyDescent="0.15">
      <c r="A27" s="44" t="s">
        <v>55</v>
      </c>
      <c r="B27" s="56">
        <f>IRR(B25:L25,0.05)</f>
        <v>5.1345745899094242E-2</v>
      </c>
    </row>
    <row r="28" spans="1:13" x14ac:dyDescent="0.15">
      <c r="A28" s="40" t="s">
        <v>62</v>
      </c>
      <c r="B28" s="40">
        <f>SUM(C25:L25)</f>
        <v>1612240</v>
      </c>
    </row>
    <row r="30" spans="1:13" ht="17" x14ac:dyDescent="0.3">
      <c r="A30" s="49" t="s">
        <v>63</v>
      </c>
      <c r="C30" s="214" t="s">
        <v>67</v>
      </c>
      <c r="D30" s="214"/>
      <c r="E30" s="214"/>
      <c r="F30" s="214"/>
      <c r="G30" s="214"/>
      <c r="H30" s="215" t="s">
        <v>68</v>
      </c>
      <c r="I30" s="215"/>
      <c r="L30" s="50" t="s">
        <v>77</v>
      </c>
      <c r="M30" s="50"/>
    </row>
    <row r="31" spans="1:13" x14ac:dyDescent="0.15">
      <c r="A31" s="40" t="s">
        <v>47</v>
      </c>
      <c r="B31" s="40">
        <f>B6</f>
        <v>1000000</v>
      </c>
      <c r="C31" s="213" t="s">
        <v>65</v>
      </c>
      <c r="D31" s="213"/>
      <c r="E31" s="213"/>
      <c r="F31" s="213"/>
      <c r="G31" s="213"/>
      <c r="H31" s="58" t="s">
        <v>66</v>
      </c>
      <c r="L31" s="57" t="s">
        <v>64</v>
      </c>
    </row>
    <row r="32" spans="1:13" ht="17" x14ac:dyDescent="0.3">
      <c r="A32" s="40" t="s">
        <v>48</v>
      </c>
      <c r="B32" s="47">
        <v>0</v>
      </c>
      <c r="L32" s="57" t="s">
        <v>78</v>
      </c>
    </row>
    <row r="33" spans="1:13" x14ac:dyDescent="0.15">
      <c r="A33" s="40" t="s">
        <v>49</v>
      </c>
      <c r="B33" s="40">
        <f>B31+B32</f>
        <v>1000000</v>
      </c>
    </row>
    <row r="34" spans="1:13" x14ac:dyDescent="0.15">
      <c r="A34" s="40" t="s">
        <v>57</v>
      </c>
      <c r="B34" s="40">
        <f>-B33</f>
        <v>-1000000</v>
      </c>
      <c r="C34" s="40">
        <v>0</v>
      </c>
      <c r="D34" s="40">
        <v>0</v>
      </c>
      <c r="E34" s="40">
        <v>0</v>
      </c>
      <c r="F34" s="40">
        <v>0</v>
      </c>
      <c r="G34" s="40">
        <f>$B$33*$B$11</f>
        <v>70000</v>
      </c>
      <c r="H34" s="40">
        <f t="shared" ref="H34:K34" si="3">$B$33*$B$11</f>
        <v>70000</v>
      </c>
      <c r="I34" s="40">
        <f t="shared" si="3"/>
        <v>70000</v>
      </c>
      <c r="J34" s="40">
        <f t="shared" si="3"/>
        <v>70000</v>
      </c>
      <c r="K34" s="40">
        <f t="shared" si="3"/>
        <v>70000</v>
      </c>
      <c r="L34" s="40">
        <f>$B$33*$B$11+L35</f>
        <v>1911250</v>
      </c>
    </row>
    <row r="35" spans="1:13" x14ac:dyDescent="0.15">
      <c r="A35" s="40" t="s">
        <v>52</v>
      </c>
      <c r="C35" s="40">
        <v>0</v>
      </c>
      <c r="D35" s="40">
        <v>0</v>
      </c>
      <c r="E35" s="40">
        <v>0</v>
      </c>
      <c r="F35" s="40">
        <v>0</v>
      </c>
      <c r="G35" s="40">
        <v>0</v>
      </c>
      <c r="H35" s="40">
        <v>0</v>
      </c>
      <c r="I35" s="40">
        <v>0</v>
      </c>
      <c r="J35" s="40">
        <v>0</v>
      </c>
      <c r="K35" s="40">
        <v>0</v>
      </c>
      <c r="L35" s="42">
        <v>1841250</v>
      </c>
      <c r="M35" s="87"/>
    </row>
    <row r="36" spans="1:13" x14ac:dyDescent="0.15">
      <c r="A36" s="40" t="s">
        <v>48</v>
      </c>
      <c r="C36" s="40">
        <v>0</v>
      </c>
      <c r="D36" s="40">
        <v>0</v>
      </c>
      <c r="E36" s="40">
        <v>0</v>
      </c>
      <c r="F36" s="40">
        <v>0</v>
      </c>
      <c r="G36" s="40">
        <v>0</v>
      </c>
      <c r="H36" s="40">
        <v>0</v>
      </c>
      <c r="I36" s="40">
        <v>0</v>
      </c>
      <c r="J36" s="40">
        <f>B34*(1-B10)*B8</f>
        <v>-170000</v>
      </c>
      <c r="K36" s="40">
        <v>0</v>
      </c>
      <c r="L36" s="40">
        <f>(L35-B33)*-B22</f>
        <v>0</v>
      </c>
    </row>
    <row r="37" spans="1:13" ht="17" x14ac:dyDescent="0.3">
      <c r="A37" s="40" t="s">
        <v>56</v>
      </c>
      <c r="C37" s="47">
        <f>C34*(1-$B$9)*-$B$7</f>
        <v>0</v>
      </c>
      <c r="D37" s="47">
        <f t="shared" ref="D37:K37" si="4">D34*(1-$B$9)*-$B$7</f>
        <v>0</v>
      </c>
      <c r="E37" s="47">
        <f t="shared" si="4"/>
        <v>0</v>
      </c>
      <c r="F37" s="47">
        <f t="shared" si="4"/>
        <v>0</v>
      </c>
      <c r="G37" s="47">
        <f t="shared" si="4"/>
        <v>-12950</v>
      </c>
      <c r="H37" s="47">
        <f t="shared" si="4"/>
        <v>-12950</v>
      </c>
      <c r="I37" s="47">
        <f t="shared" si="4"/>
        <v>-12950</v>
      </c>
      <c r="J37" s="47">
        <f t="shared" si="4"/>
        <v>-12950</v>
      </c>
      <c r="K37" s="47">
        <f t="shared" si="4"/>
        <v>-12950</v>
      </c>
      <c r="L37" s="47">
        <f>K37</f>
        <v>-12950</v>
      </c>
    </row>
    <row r="38" spans="1:13" x14ac:dyDescent="0.15">
      <c r="A38" s="40" t="s">
        <v>58</v>
      </c>
      <c r="B38" s="40">
        <f>-B33</f>
        <v>-1000000</v>
      </c>
      <c r="C38" s="40">
        <f>C34+C37</f>
        <v>0</v>
      </c>
      <c r="D38" s="40">
        <f t="shared" ref="D38" si="5">D34+D37</f>
        <v>0</v>
      </c>
      <c r="E38" s="40">
        <f t="shared" ref="E38" si="6">E34+E37</f>
        <v>0</v>
      </c>
      <c r="F38" s="40">
        <f t="shared" ref="F38" si="7">F34+F37</f>
        <v>0</v>
      </c>
      <c r="G38" s="40">
        <f t="shared" ref="G38" si="8">G34+G37</f>
        <v>57050</v>
      </c>
      <c r="H38" s="40">
        <f t="shared" ref="H38" si="9">H34+H37</f>
        <v>57050</v>
      </c>
      <c r="I38" s="40">
        <f t="shared" ref="I38" si="10">I34+I37</f>
        <v>57050</v>
      </c>
      <c r="J38" s="40">
        <f>J34+J37+J36</f>
        <v>-112950</v>
      </c>
      <c r="K38" s="40">
        <f t="shared" ref="K38" si="11">K34+K37</f>
        <v>57050</v>
      </c>
      <c r="L38" s="40">
        <f t="shared" ref="L38" si="12">L34+L37</f>
        <v>1898300</v>
      </c>
    </row>
    <row r="39" spans="1:13" x14ac:dyDescent="0.15">
      <c r="A39" s="40" t="s">
        <v>54</v>
      </c>
      <c r="B39" s="41">
        <f>IRR(B34:L34,0.05)</f>
        <v>9.0025487173740704E-2</v>
      </c>
    </row>
    <row r="40" spans="1:13" x14ac:dyDescent="0.15">
      <c r="A40" s="44" t="s">
        <v>55</v>
      </c>
      <c r="B40" s="56">
        <f>IRR(B38:L38,0.05)</f>
        <v>7.4839506142339252E-2</v>
      </c>
    </row>
    <row r="41" spans="1:13" x14ac:dyDescent="0.15">
      <c r="A41" s="59" t="s">
        <v>62</v>
      </c>
      <c r="B41" s="59">
        <f>SUM(C38:L38)</f>
        <v>2013550</v>
      </c>
    </row>
    <row r="42" spans="1:13" x14ac:dyDescent="0.15">
      <c r="A42" s="59"/>
      <c r="B42" s="59"/>
    </row>
    <row r="43" spans="1:13" x14ac:dyDescent="0.15">
      <c r="A43" s="60"/>
      <c r="B43" s="60"/>
    </row>
    <row r="44" spans="1:13" x14ac:dyDescent="0.15">
      <c r="B44" s="61"/>
    </row>
    <row r="45" spans="1:13" x14ac:dyDescent="0.15">
      <c r="A45" s="51"/>
      <c r="B45" s="76">
        <v>2019</v>
      </c>
      <c r="C45" s="76">
        <f>B45+1</f>
        <v>2020</v>
      </c>
      <c r="D45" s="76">
        <f t="shared" ref="D45" si="13">C45+1</f>
        <v>2021</v>
      </c>
      <c r="E45" s="76">
        <f t="shared" ref="E45" si="14">D45+1</f>
        <v>2022</v>
      </c>
      <c r="F45" s="76">
        <f t="shared" ref="F45" si="15">E45+1</f>
        <v>2023</v>
      </c>
      <c r="G45" s="76">
        <f t="shared" ref="G45" si="16">F45+1</f>
        <v>2024</v>
      </c>
      <c r="H45" s="76">
        <f>G45+1</f>
        <v>2025</v>
      </c>
      <c r="I45" s="76">
        <f t="shared" ref="I45" si="17">H45+1</f>
        <v>2026</v>
      </c>
      <c r="J45" s="76">
        <f t="shared" ref="J45" si="18">I45+1</f>
        <v>2027</v>
      </c>
      <c r="K45" s="76">
        <f t="shared" ref="K45" si="19">J45+1</f>
        <v>2028</v>
      </c>
      <c r="L45" s="77">
        <f t="shared" ref="L45" si="20">K45+1</f>
        <v>2029</v>
      </c>
    </row>
    <row r="46" spans="1:13" ht="17" x14ac:dyDescent="0.3">
      <c r="A46" s="78" t="s">
        <v>95</v>
      </c>
      <c r="B46" s="65" t="s">
        <v>36</v>
      </c>
      <c r="C46" s="65" t="s">
        <v>35</v>
      </c>
      <c r="D46" s="65" t="s">
        <v>37</v>
      </c>
      <c r="E46" s="65" t="s">
        <v>38</v>
      </c>
      <c r="F46" s="65" t="s">
        <v>39</v>
      </c>
      <c r="G46" s="65" t="s">
        <v>40</v>
      </c>
      <c r="H46" s="65" t="s">
        <v>41</v>
      </c>
      <c r="I46" s="65" t="s">
        <v>42</v>
      </c>
      <c r="J46" s="65" t="s">
        <v>43</v>
      </c>
      <c r="K46" s="65" t="s">
        <v>44</v>
      </c>
      <c r="L46" s="66" t="s">
        <v>45</v>
      </c>
      <c r="M46" s="45"/>
    </row>
    <row r="47" spans="1:13" x14ac:dyDescent="0.15">
      <c r="A47" s="52" t="s">
        <v>86</v>
      </c>
      <c r="B47" s="79">
        <v>7.0000000000000007E-2</v>
      </c>
      <c r="C47" s="59"/>
      <c r="D47" s="59"/>
      <c r="E47" s="59"/>
      <c r="F47" s="59"/>
      <c r="G47" s="59"/>
      <c r="H47" s="59"/>
      <c r="I47" s="59"/>
      <c r="J47" s="59"/>
      <c r="K47" s="59"/>
      <c r="L47" s="53"/>
    </row>
    <row r="48" spans="1:13" x14ac:dyDescent="0.15">
      <c r="A48" s="52" t="s">
        <v>87</v>
      </c>
      <c r="B48" s="79">
        <v>0.03</v>
      </c>
      <c r="C48" s="59"/>
      <c r="D48" s="59"/>
      <c r="E48" s="59"/>
      <c r="F48" s="59"/>
      <c r="G48" s="59"/>
      <c r="H48" s="59"/>
      <c r="I48" s="59"/>
      <c r="J48" s="59"/>
      <c r="K48" s="59"/>
      <c r="L48" s="53"/>
    </row>
    <row r="49" spans="1:13" x14ac:dyDescent="0.15">
      <c r="A49" s="52" t="s">
        <v>88</v>
      </c>
      <c r="B49" s="59"/>
      <c r="C49" s="59">
        <f>-B19*B47</f>
        <v>14000.000000000002</v>
      </c>
      <c r="D49" s="59">
        <f>+C49</f>
        <v>14000.000000000002</v>
      </c>
      <c r="E49" s="59">
        <f t="shared" ref="E49:I49" si="21">+D49</f>
        <v>14000.000000000002</v>
      </c>
      <c r="F49" s="59">
        <f t="shared" si="21"/>
        <v>14000.000000000002</v>
      </c>
      <c r="G49" s="59">
        <f t="shared" si="21"/>
        <v>14000.000000000002</v>
      </c>
      <c r="H49" s="59">
        <f t="shared" si="21"/>
        <v>14000.000000000002</v>
      </c>
      <c r="I49" s="59">
        <f t="shared" si="21"/>
        <v>14000.000000000002</v>
      </c>
      <c r="J49" s="59">
        <f>+H49/12*4</f>
        <v>4666.666666666667</v>
      </c>
      <c r="K49" s="59"/>
      <c r="L49" s="53"/>
      <c r="M49" s="87"/>
    </row>
    <row r="50" spans="1:13" x14ac:dyDescent="0.15">
      <c r="A50" s="52" t="s">
        <v>89</v>
      </c>
      <c r="B50" s="59">
        <f>+NPV($B$48,C49:J49)</f>
        <v>90907.87113323329</v>
      </c>
      <c r="C50" s="59"/>
      <c r="D50" s="59"/>
      <c r="E50" s="59"/>
      <c r="F50" s="59"/>
      <c r="G50" s="59"/>
      <c r="H50" s="59"/>
      <c r="I50" s="59"/>
      <c r="J50" s="59"/>
      <c r="K50" s="59"/>
      <c r="L50" s="53"/>
    </row>
    <row r="51" spans="1:13" x14ac:dyDescent="0.15">
      <c r="A51" s="52" t="s">
        <v>90</v>
      </c>
      <c r="B51" s="59"/>
      <c r="C51" s="59">
        <v>0</v>
      </c>
      <c r="D51" s="59">
        <v>0</v>
      </c>
      <c r="E51" s="59">
        <v>0</v>
      </c>
      <c r="F51" s="59">
        <v>0</v>
      </c>
      <c r="G51" s="59">
        <v>0</v>
      </c>
      <c r="H51" s="59">
        <v>0</v>
      </c>
      <c r="I51" s="59">
        <v>0</v>
      </c>
      <c r="J51" s="59">
        <f>+B6*B8*B10</f>
        <v>30000</v>
      </c>
      <c r="K51" s="59"/>
      <c r="L51" s="53"/>
    </row>
    <row r="52" spans="1:13" x14ac:dyDescent="0.15">
      <c r="A52" s="52" t="s">
        <v>89</v>
      </c>
      <c r="B52" s="59">
        <f>+NPV($B$48,C51:J51)</f>
        <v>23682.277029418066</v>
      </c>
      <c r="C52" s="59"/>
      <c r="D52" s="59"/>
      <c r="E52" s="59"/>
      <c r="F52" s="59"/>
      <c r="G52" s="59"/>
      <c r="H52" s="59"/>
      <c r="I52" s="59"/>
      <c r="J52" s="59"/>
      <c r="K52" s="59"/>
      <c r="L52" s="53"/>
    </row>
    <row r="53" spans="1:13" x14ac:dyDescent="0.15">
      <c r="A53" s="52" t="s">
        <v>91</v>
      </c>
      <c r="B53" s="59"/>
      <c r="C53" s="59">
        <v>0</v>
      </c>
      <c r="D53" s="59">
        <v>0</v>
      </c>
      <c r="E53" s="59">
        <v>0</v>
      </c>
      <c r="F53" s="59">
        <v>0</v>
      </c>
      <c r="G53" s="59">
        <v>0</v>
      </c>
      <c r="H53" s="59">
        <v>0</v>
      </c>
      <c r="I53" s="59">
        <v>0</v>
      </c>
      <c r="J53" s="59">
        <v>0</v>
      </c>
      <c r="K53" s="59">
        <v>0</v>
      </c>
      <c r="L53" s="53">
        <f>+(L35-B31)*B8</f>
        <v>168250</v>
      </c>
    </row>
    <row r="54" spans="1:13" ht="17" x14ac:dyDescent="0.3">
      <c r="A54" s="52" t="s">
        <v>89</v>
      </c>
      <c r="B54" s="80">
        <f>+NPV($B$48,C53:L53)</f>
        <v>125193.80118137397</v>
      </c>
      <c r="C54" s="59"/>
      <c r="D54" s="59"/>
      <c r="E54" s="59"/>
      <c r="F54" s="59"/>
      <c r="G54" s="59"/>
      <c r="H54" s="59"/>
      <c r="I54" s="59"/>
      <c r="J54" s="59"/>
      <c r="K54" s="59"/>
      <c r="L54" s="53"/>
    </row>
    <row r="55" spans="1:13" x14ac:dyDescent="0.15">
      <c r="A55" s="52" t="s">
        <v>92</v>
      </c>
      <c r="B55" s="59">
        <f>+SUM(B50:B54)</f>
        <v>239783.94934402534</v>
      </c>
      <c r="C55" s="59"/>
      <c r="D55" s="59"/>
      <c r="E55" s="59"/>
      <c r="F55" s="59"/>
      <c r="G55" s="59"/>
      <c r="H55" s="59"/>
      <c r="I55" s="59"/>
      <c r="J55" s="59"/>
      <c r="K55" s="59"/>
      <c r="L55" s="53"/>
    </row>
    <row r="56" spans="1:13" x14ac:dyDescent="0.15">
      <c r="A56" s="52" t="s">
        <v>93</v>
      </c>
      <c r="B56" s="67">
        <f>+B55/B33</f>
        <v>0.23978394934402533</v>
      </c>
      <c r="C56" s="59"/>
      <c r="D56" s="59"/>
      <c r="E56" s="59"/>
      <c r="F56" s="59"/>
      <c r="G56" s="59"/>
      <c r="H56" s="59"/>
      <c r="I56" s="59"/>
      <c r="J56" s="59"/>
      <c r="K56" s="59"/>
      <c r="L56" s="53"/>
    </row>
    <row r="57" spans="1:13" x14ac:dyDescent="0.15">
      <c r="A57" s="72" t="s">
        <v>94</v>
      </c>
      <c r="B57" s="81">
        <f>+B55/B20</f>
        <v>0.29972993668003167</v>
      </c>
      <c r="C57" s="73"/>
      <c r="D57" s="73"/>
      <c r="E57" s="73"/>
      <c r="F57" s="73"/>
      <c r="G57" s="73"/>
      <c r="H57" s="73"/>
      <c r="I57" s="73"/>
      <c r="J57" s="73"/>
      <c r="K57" s="73"/>
      <c r="L57" s="74"/>
    </row>
  </sheetData>
  <mergeCells count="10">
    <mergeCell ref="C31:G31"/>
    <mergeCell ref="C17:D17"/>
    <mergeCell ref="E17:F17"/>
    <mergeCell ref="G17:L17"/>
    <mergeCell ref="A1:L1"/>
    <mergeCell ref="A3:L3"/>
    <mergeCell ref="C30:G30"/>
    <mergeCell ref="H30:I30"/>
    <mergeCell ref="J6:K6"/>
    <mergeCell ref="J5:L5"/>
  </mergeCells>
  <pageMargins left="0" right="0" top="0.75" bottom="0.5" header="0.3" footer="0.3"/>
  <pageSetup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Mark</vt:lpstr>
      <vt:lpstr>Assumptions and Instructions</vt:lpstr>
      <vt:lpstr>Investment Analysis</vt:lpstr>
      <vt:lpstr>State Capital Gains Tax Rates</vt:lpstr>
      <vt:lpstr>KAS Version</vt:lpstr>
      <vt:lpstr>'Assumptions and Instructions'!Print_Area</vt:lpstr>
      <vt:lpstr>'Investment Analysis'!Print_Area</vt:lpstr>
      <vt:lpstr>'KAS Version'!Print_Area</vt:lpstr>
      <vt:lpstr>'State Capital Gains Tax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Goldberg</dc:creator>
  <cp:lastModifiedBy>Microsoft Office User</cp:lastModifiedBy>
  <cp:lastPrinted>2019-09-19T17:46:02Z</cp:lastPrinted>
  <dcterms:created xsi:type="dcterms:W3CDTF">2019-01-16T21:11:38Z</dcterms:created>
  <dcterms:modified xsi:type="dcterms:W3CDTF">2020-02-28T20:03:56Z</dcterms:modified>
</cp:coreProperties>
</file>